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10140" yWindow="0" windowWidth="10455" windowHeight="10905" tabRatio="639" activeTab="8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Checklist!$A$1:$E$26</definedName>
    <definedName name="_xlnm.Print_Area" localSheetId="9">'F4'!$B$2:$O$59</definedName>
    <definedName name="_xlnm.Print_Area" localSheetId="12">'F7'!$B$2:$J$23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44525" iterate="1" iterateCount="10000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01" l="1"/>
  <c r="F10" i="101"/>
  <c r="H9" i="101"/>
  <c r="H8" i="101"/>
  <c r="Q28" i="91" l="1"/>
  <c r="Q14" i="91"/>
  <c r="Q15" i="91"/>
  <c r="Q18" i="91"/>
  <c r="Q20" i="91"/>
  <c r="Q24" i="91"/>
  <c r="Q13" i="91"/>
  <c r="E35" i="67"/>
  <c r="F35" i="67"/>
  <c r="D35" i="67"/>
  <c r="E38" i="68"/>
  <c r="F38" i="68"/>
  <c r="D38" i="68"/>
  <c r="D9" i="109"/>
  <c r="D18" i="109" s="1"/>
  <c r="E18" i="69"/>
  <c r="F18" i="69"/>
  <c r="D18" i="69"/>
  <c r="G43" i="102" l="1"/>
  <c r="H43" i="102"/>
  <c r="K43" i="102"/>
  <c r="L43" i="102"/>
  <c r="G59" i="102"/>
  <c r="H59" i="102"/>
  <c r="K59" i="102"/>
  <c r="L59" i="102"/>
  <c r="J21" i="102"/>
  <c r="K21" i="102"/>
  <c r="L21" i="102"/>
  <c r="F21" i="102"/>
  <c r="G21" i="102"/>
  <c r="I13" i="102"/>
  <c r="F33" i="71"/>
  <c r="J33" i="71"/>
  <c r="N33" i="71"/>
  <c r="J24" i="71"/>
  <c r="N24" i="71"/>
  <c r="E12" i="93"/>
  <c r="L33" i="71"/>
  <c r="K33" i="71"/>
  <c r="H33" i="71"/>
  <c r="G33" i="71"/>
  <c r="D33" i="71"/>
  <c r="M24" i="71"/>
  <c r="L24" i="71"/>
  <c r="I24" i="71"/>
  <c r="H24" i="71"/>
  <c r="E24" i="71"/>
  <c r="D24" i="71"/>
  <c r="N12" i="71"/>
  <c r="M12" i="71"/>
  <c r="L12" i="71"/>
  <c r="K12" i="71"/>
  <c r="J12" i="71"/>
  <c r="I12" i="71"/>
  <c r="H12" i="71"/>
  <c r="G12" i="71"/>
  <c r="F12" i="71"/>
  <c r="E12" i="71"/>
  <c r="D12" i="71"/>
  <c r="C12" i="71"/>
  <c r="N10" i="71"/>
  <c r="N14" i="71" s="1"/>
  <c r="M10" i="71"/>
  <c r="M14" i="71" s="1"/>
  <c r="L10" i="71"/>
  <c r="L14" i="71" s="1"/>
  <c r="K10" i="71"/>
  <c r="K14" i="71" s="1"/>
  <c r="J10" i="71"/>
  <c r="J14" i="71" s="1"/>
  <c r="I10" i="71"/>
  <c r="I14" i="71" s="1"/>
  <c r="H10" i="71"/>
  <c r="H14" i="71" s="1"/>
  <c r="G10" i="71"/>
  <c r="G14" i="71" s="1"/>
  <c r="F10" i="71"/>
  <c r="F14" i="71" s="1"/>
  <c r="E10" i="71"/>
  <c r="E14" i="71" s="1"/>
  <c r="D10" i="71"/>
  <c r="D14" i="71" s="1"/>
  <c r="C10" i="71"/>
  <c r="J11" i="58" l="1"/>
  <c r="H14" i="103"/>
  <c r="O12" i="71"/>
  <c r="C24" i="71"/>
  <c r="G24" i="71"/>
  <c r="O31" i="71"/>
  <c r="F24" i="71"/>
  <c r="K24" i="71"/>
  <c r="M33" i="71"/>
  <c r="I33" i="71"/>
  <c r="E33" i="71"/>
  <c r="C33" i="71"/>
  <c r="O22" i="71"/>
  <c r="E11" i="93"/>
  <c r="O10" i="71"/>
  <c r="C14" i="71"/>
  <c r="O20" i="71"/>
  <c r="O29" i="71"/>
  <c r="O33" i="71" s="1"/>
  <c r="O14" i="71" l="1"/>
  <c r="O24" i="71"/>
  <c r="J29" i="106" l="1"/>
  <c r="H29" i="106"/>
  <c r="F29" i="106"/>
  <c r="E29" i="106"/>
  <c r="E25" i="67"/>
  <c r="E33" i="67" s="1"/>
  <c r="F25" i="67"/>
  <c r="F33" i="67" s="1"/>
  <c r="D25" i="67"/>
  <c r="D33" i="67" s="1"/>
  <c r="I19" i="103" l="1"/>
  <c r="G19" i="103"/>
  <c r="L15" i="58"/>
  <c r="I3" i="91"/>
  <c r="D3" i="64"/>
  <c r="E3" i="106"/>
  <c r="D3" i="105"/>
  <c r="B3" i="104"/>
  <c r="E3" i="103"/>
  <c r="H3" i="102"/>
  <c r="D3" i="109"/>
  <c r="E3" i="93"/>
  <c r="B3" i="69"/>
  <c r="B2" i="68"/>
  <c r="B2" i="67"/>
  <c r="F3" i="66"/>
  <c r="I13" i="66"/>
  <c r="E13" i="104"/>
  <c r="H11" i="58"/>
  <c r="G11" i="58" s="1"/>
  <c r="F18" i="104"/>
  <c r="F12" i="93"/>
  <c r="F11" i="93"/>
  <c r="L11" i="58" l="1"/>
  <c r="J14" i="103" s="1"/>
  <c r="D13" i="93" l="1"/>
  <c r="F10" i="58" l="1"/>
  <c r="K13" i="66" l="1"/>
  <c r="F10" i="105" l="1"/>
  <c r="F11" i="105" s="1"/>
  <c r="G10" i="105"/>
  <c r="G11" i="105" s="1"/>
  <c r="H10" i="105"/>
  <c r="H11" i="105" s="1"/>
  <c r="I10" i="105"/>
  <c r="I11" i="105" s="1"/>
  <c r="J10" i="105"/>
  <c r="J11" i="105" s="1"/>
  <c r="E10" i="105"/>
  <c r="E11" i="105" s="1"/>
  <c r="E9" i="105" l="1"/>
  <c r="D20" i="69"/>
  <c r="F14" i="103"/>
  <c r="E14" i="103"/>
  <c r="F13" i="103"/>
  <c r="G13" i="103"/>
  <c r="H13" i="103"/>
  <c r="I13" i="103"/>
  <c r="J13" i="103"/>
  <c r="E13" i="103"/>
  <c r="E10" i="103"/>
  <c r="E9" i="103"/>
  <c r="I13" i="93" l="1"/>
  <c r="K12" i="58"/>
  <c r="K14" i="58" l="1"/>
  <c r="K10" i="58"/>
  <c r="K13" i="58"/>
  <c r="G15" i="58" l="1"/>
  <c r="H15" i="58" s="1"/>
  <c r="K15" i="58"/>
  <c r="D25" i="106"/>
  <c r="B10" i="106"/>
  <c r="B11" i="106" s="1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K16" i="58" l="1"/>
  <c r="I17" i="105"/>
  <c r="M11" i="102" l="1"/>
  <c r="J33" i="102" s="1"/>
  <c r="M12" i="102"/>
  <c r="J34" i="102" s="1"/>
  <c r="M15" i="102"/>
  <c r="M16" i="102"/>
  <c r="M17" i="102"/>
  <c r="M18" i="102"/>
  <c r="M19" i="102"/>
  <c r="M20" i="102"/>
  <c r="M10" i="102"/>
  <c r="M14" i="102"/>
  <c r="J32" i="102" l="1"/>
  <c r="M34" i="102"/>
  <c r="J50" i="102" s="1"/>
  <c r="M50" i="102" s="1"/>
  <c r="J38" i="102"/>
  <c r="J40" i="102"/>
  <c r="M40" i="102" s="1"/>
  <c r="J42" i="102"/>
  <c r="M42" i="102" s="1"/>
  <c r="J36" i="102"/>
  <c r="J41" i="102"/>
  <c r="M41" i="102" s="1"/>
  <c r="J39" i="102"/>
  <c r="M33" i="102"/>
  <c r="J49" i="102" s="1"/>
  <c r="J37" i="102"/>
  <c r="N13" i="102"/>
  <c r="N20" i="102"/>
  <c r="I20" i="102"/>
  <c r="F42" i="102" s="1"/>
  <c r="N19" i="102"/>
  <c r="I19" i="102"/>
  <c r="F41" i="102" s="1"/>
  <c r="N18" i="102"/>
  <c r="I18" i="102"/>
  <c r="F40" i="102" s="1"/>
  <c r="N17" i="102"/>
  <c r="I17" i="102"/>
  <c r="F39" i="102" s="1"/>
  <c r="N16" i="102"/>
  <c r="I16" i="102"/>
  <c r="F38" i="102" s="1"/>
  <c r="N15" i="102"/>
  <c r="I15" i="102"/>
  <c r="F37" i="102" s="1"/>
  <c r="N14" i="102"/>
  <c r="N12" i="102"/>
  <c r="I12" i="102"/>
  <c r="N11" i="102"/>
  <c r="I11" i="102"/>
  <c r="N10" i="102"/>
  <c r="I10" i="102"/>
  <c r="N40" i="102" l="1"/>
  <c r="N39" i="102"/>
  <c r="N21" i="102"/>
  <c r="N38" i="102"/>
  <c r="M32" i="102"/>
  <c r="N42" i="102"/>
  <c r="N37" i="102"/>
  <c r="N41" i="102"/>
  <c r="F35" i="102"/>
  <c r="M49" i="102"/>
  <c r="M37" i="102"/>
  <c r="J53" i="102" s="1"/>
  <c r="M53" i="102" s="1"/>
  <c r="M39" i="102"/>
  <c r="J55" i="102" s="1"/>
  <c r="M55" i="102" s="1"/>
  <c r="M36" i="102"/>
  <c r="J52" i="102" s="1"/>
  <c r="M52" i="102" s="1"/>
  <c r="M38" i="102"/>
  <c r="J54" i="102" s="1"/>
  <c r="M54" i="102" s="1"/>
  <c r="F32" i="102"/>
  <c r="O11" i="102"/>
  <c r="F33" i="102"/>
  <c r="N33" i="102" s="1"/>
  <c r="O12" i="102"/>
  <c r="F34" i="102"/>
  <c r="N34" i="102" s="1"/>
  <c r="O15" i="102"/>
  <c r="O16" i="102"/>
  <c r="O17" i="102"/>
  <c r="O18" i="102"/>
  <c r="O19" i="102"/>
  <c r="O20" i="102"/>
  <c r="J56" i="102"/>
  <c r="M56" i="102" s="1"/>
  <c r="O10" i="102"/>
  <c r="J48" i="102" l="1"/>
  <c r="I41" i="102"/>
  <c r="I39" i="102"/>
  <c r="O39" i="102" s="1"/>
  <c r="I38" i="102"/>
  <c r="O38" i="102" s="1"/>
  <c r="I37" i="102"/>
  <c r="O37" i="102" s="1"/>
  <c r="I35" i="102"/>
  <c r="I34" i="102"/>
  <c r="O34" i="102" s="1"/>
  <c r="I33" i="102"/>
  <c r="O33" i="102" s="1"/>
  <c r="N32" i="102"/>
  <c r="I32" i="102"/>
  <c r="M48" i="102" l="1"/>
  <c r="F48" i="102"/>
  <c r="F57" i="102"/>
  <c r="I57" i="102" s="1"/>
  <c r="O41" i="102"/>
  <c r="F49" i="102"/>
  <c r="F50" i="102"/>
  <c r="N50" i="102" s="1"/>
  <c r="F51" i="102"/>
  <c r="F53" i="102"/>
  <c r="N53" i="102" s="1"/>
  <c r="F54" i="102"/>
  <c r="N54" i="102" s="1"/>
  <c r="F55" i="102"/>
  <c r="N55" i="102" s="1"/>
  <c r="O32" i="102"/>
  <c r="I40" i="102"/>
  <c r="N48" i="102" l="1"/>
  <c r="I48" i="102"/>
  <c r="O48" i="102" s="1"/>
  <c r="N49" i="102"/>
  <c r="F56" i="102"/>
  <c r="N56" i="102" s="1"/>
  <c r="O40" i="102"/>
  <c r="J57" i="102"/>
  <c r="I55" i="102"/>
  <c r="O55" i="102" s="1"/>
  <c r="I54" i="102"/>
  <c r="O54" i="102" s="1"/>
  <c r="I53" i="102"/>
  <c r="O53" i="102" s="1"/>
  <c r="I51" i="102"/>
  <c r="I50" i="102"/>
  <c r="O50" i="102" s="1"/>
  <c r="I49" i="102"/>
  <c r="I56" i="102" l="1"/>
  <c r="O56" i="102" s="1"/>
  <c r="O49" i="102"/>
  <c r="M57" i="102"/>
  <c r="O57" i="102" s="1"/>
  <c r="N57" i="102"/>
  <c r="K11" i="66" l="1"/>
  <c r="I11" i="66"/>
  <c r="G11" i="103" l="1"/>
  <c r="E15" i="109"/>
  <c r="K21" i="58" l="1"/>
  <c r="D11" i="105"/>
  <c r="I17" i="104" l="1"/>
  <c r="D15" i="109"/>
  <c r="D13" i="105"/>
  <c r="D11" i="103"/>
  <c r="D19" i="103" l="1"/>
  <c r="F36" i="68" l="1"/>
  <c r="E36" i="68"/>
  <c r="D36" i="68"/>
  <c r="F13" i="66"/>
  <c r="G13" i="66" s="1"/>
  <c r="G13" i="93"/>
  <c r="F15" i="109"/>
  <c r="D17" i="105"/>
  <c r="J17" i="105"/>
  <c r="H17" i="105"/>
  <c r="G17" i="105"/>
  <c r="F17" i="105"/>
  <c r="E17" i="105"/>
  <c r="G13" i="105"/>
  <c r="I12" i="66" l="1"/>
  <c r="I14" i="66" s="1"/>
  <c r="H12" i="104" s="1"/>
  <c r="K12" i="66"/>
  <c r="K14" i="66" s="1"/>
  <c r="J12" i="104" s="1"/>
  <c r="F12" i="66"/>
  <c r="G12" i="66" s="1"/>
  <c r="F10" i="103"/>
  <c r="F9" i="105"/>
  <c r="F19" i="105" s="1"/>
  <c r="D21" i="109"/>
  <c r="F9" i="109"/>
  <c r="F18" i="109" s="1"/>
  <c r="F21" i="109" s="1"/>
  <c r="D19" i="105"/>
  <c r="D20" i="105" s="1"/>
  <c r="E9" i="109"/>
  <c r="E21" i="109" s="1"/>
  <c r="I10" i="58"/>
  <c r="F12" i="58"/>
  <c r="I12" i="58"/>
  <c r="G19" i="105"/>
  <c r="E19" i="105" l="1"/>
  <c r="I42" i="102"/>
  <c r="F9" i="103"/>
  <c r="F11" i="103" s="1"/>
  <c r="E11" i="103"/>
  <c r="F13" i="93"/>
  <c r="H9" i="103"/>
  <c r="J10" i="58"/>
  <c r="F18" i="103"/>
  <c r="E13" i="93"/>
  <c r="H13" i="93" s="1"/>
  <c r="J10" i="93" s="1"/>
  <c r="J13" i="93" s="1"/>
  <c r="E13" i="105"/>
  <c r="H9" i="105" s="1"/>
  <c r="F13" i="105"/>
  <c r="F20" i="105" s="1"/>
  <c r="F21" i="105" s="1"/>
  <c r="H14" i="58" s="1"/>
  <c r="D21" i="69"/>
  <c r="L10" i="58"/>
  <c r="G20" i="105"/>
  <c r="I14" i="58" s="1"/>
  <c r="F14" i="58"/>
  <c r="F58" i="102" l="1"/>
  <c r="I58" i="102" s="1"/>
  <c r="O42" i="102"/>
  <c r="I14" i="102"/>
  <c r="I21" i="102" s="1"/>
  <c r="E20" i="105"/>
  <c r="E21" i="105" s="1"/>
  <c r="G14" i="58" s="1"/>
  <c r="J9" i="103"/>
  <c r="H19" i="105"/>
  <c r="H13" i="105"/>
  <c r="E21" i="102" l="1"/>
  <c r="F36" i="102"/>
  <c r="F43" i="102" s="1"/>
  <c r="O14" i="102"/>
  <c r="J58" i="102"/>
  <c r="J9" i="105"/>
  <c r="H20" i="105"/>
  <c r="H13" i="104" l="1"/>
  <c r="J13" i="104"/>
  <c r="M58" i="102"/>
  <c r="N58" i="102"/>
  <c r="N36" i="102"/>
  <c r="F13" i="104"/>
  <c r="H16" i="103"/>
  <c r="E20" i="69"/>
  <c r="E21" i="69" s="1"/>
  <c r="I36" i="102"/>
  <c r="H21" i="105"/>
  <c r="J14" i="58" s="1"/>
  <c r="E15" i="103"/>
  <c r="E17" i="103" s="1"/>
  <c r="E16" i="103"/>
  <c r="F16" i="103"/>
  <c r="F15" i="103"/>
  <c r="F17" i="103" s="1"/>
  <c r="J19" i="105"/>
  <c r="J13" i="105"/>
  <c r="J15" i="58"/>
  <c r="I15" i="58"/>
  <c r="F15" i="58"/>
  <c r="I43" i="102" l="1"/>
  <c r="F19" i="103"/>
  <c r="F21" i="103" s="1"/>
  <c r="H12" i="58" s="1"/>
  <c r="E19" i="103"/>
  <c r="E21" i="103" s="1"/>
  <c r="G12" i="58" s="1"/>
  <c r="O36" i="102"/>
  <c r="O58" i="102"/>
  <c r="F52" i="102"/>
  <c r="J20" i="105"/>
  <c r="J21" i="105" s="1"/>
  <c r="L14" i="58" s="1"/>
  <c r="F59" i="102" l="1"/>
  <c r="F20" i="69" s="1"/>
  <c r="F21" i="69" s="1"/>
  <c r="N52" i="102"/>
  <c r="I52" i="102"/>
  <c r="E43" i="102"/>
  <c r="I59" i="102" l="1"/>
  <c r="E59" i="102" s="1"/>
  <c r="O52" i="102"/>
  <c r="J16" i="103"/>
  <c r="B19" i="58"/>
  <c r="B20" i="58" s="1"/>
  <c r="B10" i="105" l="1"/>
  <c r="B11" i="105" s="1"/>
  <c r="B12" i="105" s="1"/>
  <c r="B13" i="105" s="1"/>
  <c r="B15" i="105" s="1"/>
  <c r="B16" i="105" s="1"/>
  <c r="B17" i="105" s="1"/>
  <c r="B19" i="105" s="1"/>
  <c r="B10" i="104"/>
  <c r="B11" i="104" s="1"/>
  <c r="B12" i="104" s="1"/>
  <c r="B13" i="104" s="1"/>
  <c r="B14" i="104" s="1"/>
  <c r="B16" i="104" s="1"/>
  <c r="B17" i="104" s="1"/>
  <c r="B18" i="104" s="1"/>
  <c r="B19" i="104" s="1"/>
  <c r="B10" i="103"/>
  <c r="B11" i="103" s="1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0" i="105" l="1"/>
  <c r="B21" i="105" s="1"/>
  <c r="B11" i="58"/>
  <c r="B12" i="58" s="1"/>
  <c r="B13" i="58" s="1"/>
  <c r="B14" i="58" s="1"/>
  <c r="B15" i="58" s="1"/>
  <c r="B16" i="58" s="1"/>
  <c r="B8" i="91" l="1"/>
  <c r="B9" i="91" s="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30" i="91" s="1"/>
  <c r="B31" i="91" s="1"/>
  <c r="B7" i="57" l="1"/>
  <c r="B8" i="57" s="1"/>
  <c r="B9" i="57" s="1"/>
  <c r="B10" i="57" s="1"/>
  <c r="B11" i="57" l="1"/>
  <c r="B12" i="57" s="1"/>
  <c r="B13" i="57" s="1"/>
  <c r="B12" i="66"/>
  <c r="B13" i="66" s="1"/>
  <c r="B14" i="66" s="1"/>
  <c r="B27" i="67"/>
  <c r="B28" i="67" s="1"/>
  <c r="B29" i="67" s="1"/>
  <c r="B30" i="67" s="1"/>
  <c r="B14" i="57" l="1"/>
  <c r="B15" i="57" s="1"/>
  <c r="B16" i="57" s="1"/>
  <c r="B17" i="57" s="1"/>
  <c r="B18" i="57" s="1"/>
  <c r="B19" i="57" s="1"/>
  <c r="B20" i="57" s="1"/>
  <c r="B21" i="57" l="1"/>
  <c r="B22" i="57" s="1"/>
  <c r="B23" i="57" s="1"/>
  <c r="B24" i="57" s="1"/>
  <c r="B25" i="57" s="1"/>
  <c r="B26" i="57" s="1"/>
  <c r="F13" i="58"/>
  <c r="I13" i="58"/>
  <c r="I16" i="58" s="1"/>
  <c r="I21" i="58" l="1"/>
  <c r="G17" i="104" s="1"/>
  <c r="F16" i="58"/>
  <c r="F21" i="58" s="1"/>
  <c r="D17" i="104" s="1"/>
  <c r="M13" i="102"/>
  <c r="M21" i="102" s="1"/>
  <c r="J35" i="102" l="1"/>
  <c r="O13" i="102"/>
  <c r="O21" i="102" s="1"/>
  <c r="J43" i="102" l="1"/>
  <c r="H10" i="103" s="1"/>
  <c r="M35" i="102"/>
  <c r="N35" i="102"/>
  <c r="N43" i="102" l="1"/>
  <c r="M43" i="102"/>
  <c r="O35" i="102"/>
  <c r="O43" i="102" s="1"/>
  <c r="J51" i="102"/>
  <c r="J10" i="103"/>
  <c r="J11" i="103" s="1"/>
  <c r="J15" i="103" s="1"/>
  <c r="J17" i="103" s="1"/>
  <c r="J19" i="103" s="1"/>
  <c r="J21" i="103" s="1"/>
  <c r="L12" i="58" s="1"/>
  <c r="H11" i="103"/>
  <c r="H15" i="103" s="1"/>
  <c r="H17" i="103" s="1"/>
  <c r="H19" i="103" s="1"/>
  <c r="H21" i="103" s="1"/>
  <c r="J12" i="58" s="1"/>
  <c r="J59" i="102" l="1"/>
  <c r="M51" i="102"/>
  <c r="N51" i="102"/>
  <c r="N59" i="102" l="1"/>
  <c r="M59" i="102"/>
  <c r="O51" i="102"/>
  <c r="O59" i="102" l="1"/>
  <c r="F11" i="66"/>
  <c r="G11" i="66" l="1"/>
  <c r="G14" i="66" s="1"/>
  <c r="F14" i="66"/>
  <c r="G10" i="58" l="1"/>
  <c r="E12" i="104"/>
  <c r="H10" i="58"/>
  <c r="F12" i="104"/>
  <c r="G13" i="58" l="1"/>
  <c r="H13" i="58"/>
  <c r="J13" i="58"/>
  <c r="L13" i="58"/>
  <c r="G16" i="58"/>
  <c r="H16" i="58"/>
  <c r="J16" i="58"/>
  <c r="L16" i="58"/>
  <c r="G21" i="58"/>
  <c r="H21" i="58"/>
  <c r="J21" i="58"/>
  <c r="L21" i="58"/>
  <c r="E14" i="104"/>
  <c r="F14" i="104"/>
  <c r="H14" i="104"/>
  <c r="J14" i="104"/>
  <c r="E17" i="104"/>
  <c r="F17" i="104"/>
  <c r="H17" i="104"/>
  <c r="J17" i="104"/>
  <c r="E19" i="104"/>
  <c r="F19" i="104"/>
  <c r="H19" i="104"/>
  <c r="J19" i="104"/>
</calcChain>
</file>

<file path=xl/sharedStrings.xml><?xml version="1.0" encoding="utf-8"?>
<sst xmlns="http://schemas.openxmlformats.org/spreadsheetml/2006/main" count="757" uniqueCount="362">
  <si>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</si>
  <si>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</si>
  <si>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</si>
  <si>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</si>
  <si>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</si>
  <si>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</si>
  <si>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</si>
  <si>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</si>
  <si>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</si>
  <si>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</si>
  <si>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</si>
  <si>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</si>
  <si>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</si>
  <si>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</si>
  <si>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</si>
  <si>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</si>
  <si>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</si>
  <si>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</si>
  <si>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</si>
  <si>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</si>
  <si>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</si>
  <si>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</si>
  <si>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</si>
  <si>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</si>
  <si>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</si>
  <si>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</si>
  <si>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</si>
  <si>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</si>
  <si>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</si>
  <si>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</si>
  <si>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</si>
  <si>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</si>
  <si>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</si>
  <si>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</si>
  <si>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</si>
  <si>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</si>
  <si>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</si>
  <si>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</si>
  <si>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</si>
  <si>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</si>
  <si>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</si>
  <si>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</si>
  <si>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</si>
  <si>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</si>
  <si>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</si>
  <si>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</si>
  <si>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</si>
  <si>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</si>
  <si>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</si>
  <si>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</si>
  <si>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</si>
  <si>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</si>
  <si>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</si>
  <si>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</si>
  <si>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</si>
  <si>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</si>
  <si>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</si>
  <si>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</si>
  <si>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</si>
  <si>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</si>
  <si>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</si>
  <si>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</si>
  <si>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</si>
  <si>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</si>
  <si>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</si>
  <si>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</si>
  <si>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</si>
  <si>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</si>
  <si>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</si>
  <si>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</si>
  <si>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</si>
  <si>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</si>
  <si>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</si>
  <si>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</si>
  <si>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</si>
  <si>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</si>
  <si>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</si>
  <si>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</si>
  <si>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</si>
  <si>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</si>
  <si>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</si>
  <si>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</si>
  <si>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</si>
  <si>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</si>
  <si>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</si>
  <si>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</si>
  <si>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</si>
  <si>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</si>
  <si>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</si>
  <si>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</si>
  <si>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</si>
  <si>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</si>
  <si>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</si>
  <si>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</si>
  <si>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</si>
  <si>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</si>
  <si>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</si>
  <si>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</si>
  <si>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</si>
  <si>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</si>
  <si>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</si>
  <si>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</si>
  <si>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</si>
  <si>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</si>
  <si>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</si>
  <si>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</si>
  <si>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</si>
  <si>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</si>
  <si>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</si>
  <si>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</si>
  <si>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</si>
  <si>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</si>
  <si>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</si>
  <si>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</si>
  <si>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</si>
  <si>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</si>
  <si>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</si>
  <si>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</si>
  <si>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</si>
  <si>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</si>
  <si>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</si>
  <si>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</si>
  <si>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</si>
  <si>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</si>
  <si>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</si>
  <si>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</si>
  <si>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</si>
  <si>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</si>
  <si>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</si>
  <si>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</si>
  <si>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</si>
  <si>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</si>
  <si>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</si>
  <si>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</si>
  <si>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</si>
  <si>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</si>
  <si>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</si>
  <si>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</si>
  <si>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</si>
  <si>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</si>
  <si>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</si>
  <si>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</si>
  <si>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</si>
  <si>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</si>
  <si>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</si>
  <si>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</si>
  <si>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</si>
  <si>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</si>
  <si>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</si>
  <si>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</si>
  <si>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</si>
  <si>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</si>
  <si>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</si>
  <si>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</si>
  <si>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</si>
  <si>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</si>
  <si>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</si>
  <si>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</si>
  <si>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</si>
  <si>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</si>
  <si>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</si>
  <si>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</si>
  <si>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</si>
  <si>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</si>
  <si>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</si>
  <si>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</si>
  <si>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</si>
  <si>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</si>
  <si>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</si>
  <si>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</si>
  <si>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</si>
  <si>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</si>
  <si>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</si>
  <si>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</si>
  <si>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</si>
  <si>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</si>
  <si>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</si>
  <si>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</si>
  <si>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</si>
  <si>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</si>
  <si>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</si>
  <si>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</si>
  <si>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</si>
  <si>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</si>
  <si>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</si>
  <si>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</si>
  <si>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</si>
  <si>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</si>
  <si>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</si>
  <si>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</si>
  <si>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</si>
  <si>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</si>
  <si>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</si>
  <si>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</si>
  <si>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</si>
  <si>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>n+1</t>
  </si>
  <si>
    <t xml:space="preserve">April-March     </t>
  </si>
  <si>
    <t>Claimed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</si>
  <si>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</si>
  <si>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</si>
  <si>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</si>
  <si>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</si>
  <si>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</si>
  <si>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</si>
  <si>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</si>
  <si>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</si>
  <si>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</si>
  <si>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</si>
  <si>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</si>
  <si>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</si>
  <si>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</si>
  <si>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</si>
  <si>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</si>
  <si>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</si>
  <si>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</si>
  <si>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</si>
  <si>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</si>
  <si>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</si>
  <si>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</si>
  <si>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</si>
  <si>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</si>
  <si>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</si>
  <si>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</si>
  <si>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</si>
  <si>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</si>
  <si>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</si>
  <si>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</si>
  <si>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</si>
  <si>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</si>
  <si>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</si>
  <si>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</si>
  <si>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</si>
  <si>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</si>
  <si>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</si>
  <si>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</si>
  <si>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</si>
  <si>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</si>
  <si>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</si>
  <si>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</si>
  <si>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</si>
  <si>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</si>
  <si>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</si>
  <si>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</si>
  <si>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</si>
  <si>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</si>
  <si>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</si>
  <si>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</si>
  <si>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</si>
  <si>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</si>
  <si>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</si>
  <si>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</si>
  <si>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</si>
  <si>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</si>
  <si>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</si>
  <si>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</si>
  <si>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</si>
  <si>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</si>
  <si>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</si>
  <si>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</si>
  <si>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</si>
  <si>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</si>
  <si>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</si>
  <si>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</si>
  <si>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</si>
  <si>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</si>
  <si>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</si>
  <si>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</si>
  <si>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</si>
  <si>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</si>
  <si>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</si>
  <si>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</si>
  <si>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</si>
  <si>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</si>
  <si>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</si>
  <si>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</si>
  <si>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</si>
  <si>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</si>
  <si>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</si>
  <si>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</si>
  <si>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</si>
  <si>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</si>
  <si>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</si>
  <si>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</si>
  <si>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</si>
  <si>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</si>
  <si>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</si>
  <si>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</si>
  <si>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</si>
  <si>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</si>
  <si>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</si>
  <si>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</si>
  <si>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</si>
  <si>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</si>
  <si>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</si>
  <si>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</si>
  <si>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</si>
  <si>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</si>
  <si>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</si>
  <si>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</si>
  <si>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2024-25</t>
  </si>
  <si>
    <t>FY 2025-26</t>
  </si>
  <si>
    <t>Form 2.2: Administrative &amp; General Expenses</t>
  </si>
  <si>
    <t>Form 1: Summary Sheet</t>
  </si>
  <si>
    <t>COMPUTERS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</si>
  <si>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</si>
  <si>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</si>
  <si>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</si>
  <si>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</si>
  <si>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</si>
  <si>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</si>
  <si>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</si>
  <si>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</si>
  <si>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</si>
  <si>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</si>
  <si>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</si>
  <si>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</si>
  <si>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</si>
  <si>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</si>
  <si>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</si>
  <si>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</si>
  <si>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</si>
  <si>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</si>
  <si>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</si>
  <si>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>-</t>
  </si>
  <si>
    <t>Fuel (savings)/charge year end adjustment</t>
  </si>
  <si>
    <t>Fixed charges disallowed as per TGSLDC Availability</t>
  </si>
  <si>
    <t>Fixed charges reduced prorata to actual capitalisation in case of BTPS</t>
  </si>
  <si>
    <t>Revised Proposal</t>
  </si>
  <si>
    <t>(enclosed as Annexure)</t>
  </si>
  <si>
    <t>True-Up requirement (normative)</t>
  </si>
  <si>
    <t>True-Up requirement (Normative)</t>
  </si>
  <si>
    <t>FY 2026-27</t>
  </si>
  <si>
    <t>FY 2025-6</t>
  </si>
  <si>
    <t>SLBHES</t>
  </si>
  <si>
    <t>LAND &amp;LAND RIGHTS</t>
  </si>
  <si>
    <t>BUILDINGS</t>
  </si>
  <si>
    <t>LINES AND CABLE NETWORK</t>
  </si>
  <si>
    <t>PLANT AND EQUIPMENT</t>
  </si>
  <si>
    <t>CAPITAL SPARES</t>
  </si>
  <si>
    <t>HYDRAULIC WORKS</t>
  </si>
  <si>
    <t>OTHER CIVIL WORKS</t>
  </si>
  <si>
    <t>VEHICLES</t>
  </si>
  <si>
    <t>FURNITURE &amp; FIXTURES</t>
  </si>
  <si>
    <t>OFFICE EQUIPMENTS</t>
  </si>
  <si>
    <t>TSSPDCL (70.55%)</t>
  </si>
  <si>
    <t>TSNPDCL (29.45%)</t>
  </si>
  <si>
    <t>Decapitalisation of Assets on account of Replacement (Rs. in Crore)</t>
  </si>
  <si>
    <t>Gross Fixed Asset value of Replaced Asset</t>
  </si>
  <si>
    <t>Accumulated Depreciation of Replaced Asset</t>
  </si>
  <si>
    <t>NFA of Replaced Assets</t>
  </si>
  <si>
    <t xml:space="preserve">      SLBHES</t>
  </si>
  <si>
    <t>Name of the package           (BTG, BoP, Civil Works etc.)</t>
  </si>
  <si>
    <t>Capital expenditure during the year     (Rs. Crore)</t>
  </si>
  <si>
    <t>Asset group under which the capitalisation has been accounted                          (Land, Buldings, etc.)</t>
  </si>
  <si>
    <t>2024-25</t>
  </si>
  <si>
    <t>BTG</t>
  </si>
  <si>
    <t>Transmission Plant-Transformers-100KV &amp; Above and STATIC FREQUENCY</t>
  </si>
  <si>
    <t>Clause No. 22.3</t>
  </si>
  <si>
    <t xml:space="preserve">Civil </t>
  </si>
  <si>
    <t>Mahindra jeep, TATA Fire tender, Lorry Etc.</t>
  </si>
  <si>
    <t>2025-26</t>
  </si>
  <si>
    <t>2026-27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</si>
</sst>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000"/>
    <numFmt numFmtId="169" formatCode="0.000"/>
    <numFmt numFmtId="170" formatCode="0.00000000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  <numFmt numFmtId="175" formatCode="0.000%"/>
    <numFmt numFmtId="176" formatCode="0.00000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sz val="13"/>
      <name val="Arial"/>
      <family val="2"/>
    </font>
    <font>
      <b/>
      <sz val="10"/>
      <name val="Arial"/>
      <family val="2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04">
    <xf numFmtId="0" fontId="0" fillId="0" borderId="0"/>
    <xf numFmtId="0" fontId="12" fillId="0" borderId="0" applyNumberFormat="0" applyFill="0" applyBorder="0" applyAlignment="0" applyProtection="0"/>
    <xf numFmtId="0" fontId="13" fillId="0" borderId="1"/>
    <xf numFmtId="0" fontId="13" fillId="0" borderId="1"/>
    <xf numFmtId="38" fontId="14" fillId="2" borderId="0" applyNumberFormat="0" applyBorder="0" applyAlignment="0" applyProtection="0"/>
    <xf numFmtId="0" fontId="15" fillId="0" borderId="2" applyNumberFormat="0" applyAlignment="0" applyProtection="0">
      <alignment horizontal="left" vertical="center"/>
    </xf>
    <xf numFmtId="0" fontId="15" fillId="0" borderId="3">
      <alignment horizontal="left" vertical="center"/>
    </xf>
    <xf numFmtId="10" fontId="14" fillId="3" borderId="4" applyNumberFormat="0" applyBorder="0" applyAlignment="0" applyProtection="0"/>
    <xf numFmtId="37" fontId="16" fillId="0" borderId="0"/>
    <xf numFmtId="166" fontId="17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>
      <alignment vertical="center"/>
    </xf>
    <xf numFmtId="167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0" fontId="11" fillId="0" borderId="0"/>
    <xf numFmtId="0" fontId="19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21" fillId="0" borderId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0" fontId="20" fillId="0" borderId="0"/>
    <xf numFmtId="0" fontId="20" fillId="0" borderId="0"/>
    <xf numFmtId="0" fontId="19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22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11" fillId="0" borderId="0" applyBorder="0" applyProtection="0"/>
    <xf numFmtId="167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5" fillId="0" borderId="0"/>
    <xf numFmtId="164" fontId="2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17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8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30" fillId="0" borderId="0"/>
    <xf numFmtId="0" fontId="4" fillId="0" borderId="0" applyFont="0" applyFill="0" applyBorder="0" applyAlignment="0" applyProtection="0"/>
    <xf numFmtId="0" fontId="4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17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37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65">
    <xf numFmtId="0" fontId="0" fillId="0" borderId="0" xfId="0"/>
    <xf numFmtId="0" fontId="10" fillId="0" borderId="0" xfId="10" applyFont="1" applyAlignment="1">
      <alignment horizontal="center" vertical="center"/>
    </xf>
    <xf numFmtId="0" fontId="18" fillId="0" borderId="4" xfId="14" applyFont="1" applyBorder="1" applyAlignment="1">
      <alignment horizontal="center" vertical="center"/>
    </xf>
    <xf numFmtId="0" fontId="18" fillId="0" borderId="4" xfId="14" applyFont="1" applyBorder="1">
      <alignment vertical="center"/>
    </xf>
    <xf numFmtId="0" fontId="18" fillId="0" borderId="0" xfId="10" applyFont="1"/>
    <xf numFmtId="0" fontId="18" fillId="0" borderId="0" xfId="10" applyFont="1" applyAlignment="1">
      <alignment vertical="center"/>
    </xf>
    <xf numFmtId="0" fontId="10" fillId="0" borderId="0" xfId="14" applyFont="1">
      <alignment vertical="center"/>
    </xf>
    <xf numFmtId="0" fontId="10" fillId="0" borderId="4" xfId="14" applyFont="1" applyBorder="1" applyAlignment="1">
      <alignment horizontal="center" vertical="center"/>
    </xf>
    <xf numFmtId="0" fontId="10" fillId="0" borderId="4" xfId="14" applyFont="1" applyBorder="1" applyAlignment="1">
      <alignment horizontal="left" vertical="center"/>
    </xf>
    <xf numFmtId="0" fontId="10" fillId="0" borderId="4" xfId="14" applyFont="1" applyBorder="1" applyAlignment="1">
      <alignment vertical="top" wrapText="1"/>
    </xf>
    <xf numFmtId="0" fontId="10" fillId="0" borderId="0" xfId="10" applyFont="1"/>
    <xf numFmtId="0" fontId="15" fillId="0" borderId="7" xfId="14" applyFont="1" applyBorder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8" fillId="0" borderId="0" xfId="14" applyFont="1">
      <alignment vertical="center"/>
    </xf>
    <xf numFmtId="0" fontId="23" fillId="0" borderId="4" xfId="14" applyFont="1" applyBorder="1" applyAlignment="1">
      <alignment horizontal="center" vertical="center"/>
    </xf>
    <xf numFmtId="0" fontId="23" fillId="0" borderId="4" xfId="14" applyFont="1" applyBorder="1" applyAlignment="1">
      <alignment horizontal="center" vertical="center" wrapText="1"/>
    </xf>
    <xf numFmtId="0" fontId="18" fillId="0" borderId="4" xfId="14" applyFont="1" applyBorder="1" applyAlignment="1">
      <alignment horizontal="left" vertical="center"/>
    </xf>
    <xf numFmtId="0" fontId="18" fillId="5" borderId="4" xfId="14" applyFont="1" applyFill="1" applyBorder="1" applyAlignment="1">
      <alignment horizontal="left" vertical="center"/>
    </xf>
    <xf numFmtId="0" fontId="18" fillId="0" borderId="4" xfId="14" applyFont="1" applyBorder="1" applyAlignment="1">
      <alignment vertical="top" wrapText="1"/>
    </xf>
    <xf numFmtId="0" fontId="23" fillId="0" borderId="4" xfId="14" applyFont="1" applyBorder="1">
      <alignment vertical="center"/>
    </xf>
    <xf numFmtId="0" fontId="18" fillId="0" borderId="4" xfId="10" applyFont="1" applyBorder="1" applyAlignment="1">
      <alignment horizontal="center" vertical="center"/>
    </xf>
    <xf numFmtId="0" fontId="18" fillId="0" borderId="4" xfId="10" applyFont="1" applyBorder="1" applyAlignment="1">
      <alignment horizontal="center" vertical="center" wrapText="1"/>
    </xf>
    <xf numFmtId="0" fontId="23" fillId="0" borderId="6" xfId="10" applyFont="1" applyBorder="1" applyAlignment="1">
      <alignment horizontal="center" vertical="center" wrapText="1"/>
    </xf>
    <xf numFmtId="0" fontId="23" fillId="0" borderId="4" xfId="10" applyFont="1" applyBorder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horizontal="right" vertical="center"/>
    </xf>
    <xf numFmtId="0" fontId="23" fillId="0" borderId="0" xfId="14" applyFont="1" applyAlignment="1">
      <alignment horizontal="right" vertical="center"/>
    </xf>
    <xf numFmtId="0" fontId="18" fillId="0" borderId="4" xfId="1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8" fillId="0" borderId="4" xfId="10" applyFont="1" applyBorder="1" applyAlignment="1">
      <alignment horizontal="left" vertical="center"/>
    </xf>
    <xf numFmtId="0" fontId="23" fillId="0" borderId="4" xfId="10" applyFont="1" applyBorder="1" applyAlignment="1">
      <alignment horizontal="left" vertical="center" wrapText="1"/>
    </xf>
    <xf numFmtId="0" fontId="23" fillId="0" borderId="4" xfId="10" applyFont="1" applyBorder="1" applyAlignment="1">
      <alignment horizontal="center" vertical="center" wrapText="1"/>
    </xf>
    <xf numFmtId="0" fontId="23" fillId="0" borderId="0" xfId="10" applyFont="1" applyAlignment="1">
      <alignment vertical="center"/>
    </xf>
    <xf numFmtId="0" fontId="23" fillId="0" borderId="0" xfId="14" applyFont="1" applyAlignment="1">
      <alignment horizontal="center" vertical="center"/>
    </xf>
    <xf numFmtId="0" fontId="18" fillId="0" borderId="0" xfId="10" applyFont="1" applyAlignment="1">
      <alignment horizontal="center" vertical="center"/>
    </xf>
    <xf numFmtId="0" fontId="23" fillId="0" borderId="0" xfId="10" applyFont="1" applyAlignment="1">
      <alignment horizontal="center" vertical="center"/>
    </xf>
    <xf numFmtId="0" fontId="23" fillId="0" borderId="0" xfId="14" applyFont="1">
      <alignment vertical="center"/>
    </xf>
    <xf numFmtId="0" fontId="18" fillId="0" borderId="4" xfId="10" applyFont="1" applyBorder="1" applyAlignment="1">
      <alignment horizontal="left" vertical="center" wrapText="1"/>
    </xf>
    <xf numFmtId="0" fontId="23" fillId="0" borderId="4" xfId="10" applyFont="1" applyBorder="1" applyAlignment="1">
      <alignment vertical="center"/>
    </xf>
    <xf numFmtId="0" fontId="18" fillId="0" borderId="4" xfId="10" applyFont="1" applyBorder="1" applyAlignment="1">
      <alignment horizontal="right" vertical="center"/>
    </xf>
    <xf numFmtId="0" fontId="23" fillId="0" borderId="0" xfId="10" applyFont="1" applyAlignment="1">
      <alignment horizontal="centerContinuous"/>
    </xf>
    <xf numFmtId="0" fontId="18" fillId="0" borderId="0" xfId="10" applyFont="1" applyAlignment="1">
      <alignment horizontal="centerContinuous"/>
    </xf>
    <xf numFmtId="0" fontId="18" fillId="0" borderId="4" xfId="10" applyFont="1" applyBorder="1"/>
    <xf numFmtId="0" fontId="23" fillId="0" borderId="4" xfId="10" applyFont="1" applyBorder="1"/>
    <xf numFmtId="0" fontId="23" fillId="0" borderId="0" xfId="10" applyFont="1" applyAlignment="1">
      <alignment horizontal="justify" vertical="top" wrapText="1"/>
    </xf>
    <xf numFmtId="0" fontId="18" fillId="0" borderId="0" xfId="10" applyFont="1" applyAlignment="1">
      <alignment horizontal="left"/>
    </xf>
    <xf numFmtId="0" fontId="18" fillId="0" borderId="4" xfId="10" applyFont="1" applyBorder="1" applyAlignment="1">
      <alignment wrapText="1"/>
    </xf>
    <xf numFmtId="0" fontId="18" fillId="0" borderId="0" xfId="10" applyFont="1" applyAlignment="1">
      <alignment horizontal="left" vertical="center"/>
    </xf>
    <xf numFmtId="0" fontId="18" fillId="0" borderId="0" xfId="10" applyFont="1" applyAlignment="1">
      <alignment horizontal="right" vertical="center"/>
    </xf>
    <xf numFmtId="0" fontId="24" fillId="0" borderId="0" xfId="10" applyFont="1" applyAlignment="1">
      <alignment horizontal="left" vertical="center"/>
    </xf>
    <xf numFmtId="0" fontId="24" fillId="0" borderId="0" xfId="10" applyFont="1" applyAlignment="1">
      <alignment vertical="center"/>
    </xf>
    <xf numFmtId="0" fontId="24" fillId="0" borderId="0" xfId="10" applyFont="1" applyAlignment="1">
      <alignment horizontal="center" vertical="center"/>
    </xf>
    <xf numFmtId="0" fontId="18" fillId="0" borderId="4" xfId="10" quotePrefix="1" applyFont="1" applyBorder="1" applyAlignment="1">
      <alignment horizontal="left" vertical="top" wrapText="1"/>
    </xf>
    <xf numFmtId="0" fontId="18" fillId="0" borderId="4" xfId="10" applyFont="1" applyBorder="1" applyAlignment="1">
      <alignment horizontal="left"/>
    </xf>
    <xf numFmtId="0" fontId="23" fillId="0" borderId="4" xfId="10" applyFont="1" applyBorder="1" applyAlignment="1">
      <alignment horizontal="left"/>
    </xf>
    <xf numFmtId="0" fontId="18" fillId="0" borderId="0" xfId="14" applyFont="1" applyAlignment="1">
      <alignment horizontal="center" vertical="center"/>
    </xf>
    <xf numFmtId="0" fontId="18" fillId="0" borderId="4" xfId="10" applyFont="1" applyBorder="1" applyAlignment="1">
      <alignment horizontal="left" vertical="top" wrapText="1"/>
    </xf>
    <xf numFmtId="0" fontId="23" fillId="0" borderId="0" xfId="10" applyFont="1" applyAlignment="1">
      <alignment horizontal="left"/>
    </xf>
    <xf numFmtId="0" fontId="23" fillId="0" borderId="0" xfId="10" applyFont="1" applyAlignment="1">
      <alignment horizontal="right"/>
    </xf>
    <xf numFmtId="0" fontId="23" fillId="0" borderId="0" xfId="10" applyFont="1" applyAlignment="1">
      <alignment horizontal="left" vertical="center" wrapText="1"/>
    </xf>
    <xf numFmtId="0" fontId="23" fillId="0" borderId="0" xfId="10" applyFont="1" applyAlignment="1">
      <alignment horizontal="center" vertical="center" wrapText="1"/>
    </xf>
    <xf numFmtId="0" fontId="18" fillId="0" borderId="6" xfId="10" applyFont="1" applyBorder="1" applyAlignment="1">
      <alignment horizontal="center" vertical="center"/>
    </xf>
    <xf numFmtId="0" fontId="24" fillId="0" borderId="0" xfId="10" applyFont="1" applyAlignment="1">
      <alignment horizontal="right" vertical="center"/>
    </xf>
    <xf numFmtId="0" fontId="18" fillId="0" borderId="0" xfId="10" applyFont="1" applyAlignment="1">
      <alignment horizontal="center"/>
    </xf>
    <xf numFmtId="0" fontId="15" fillId="0" borderId="0" xfId="14" applyFont="1" applyAlignment="1">
      <alignment horizontal="center" vertical="center"/>
    </xf>
    <xf numFmtId="0" fontId="18" fillId="0" borderId="4" xfId="10" applyFont="1" applyBorder="1" applyAlignment="1">
      <alignment vertical="center" wrapText="1"/>
    </xf>
    <xf numFmtId="0" fontId="18" fillId="0" borderId="8" xfId="14" applyFont="1" applyBorder="1">
      <alignment vertical="center"/>
    </xf>
    <xf numFmtId="0" fontId="23" fillId="0" borderId="4" xfId="10" applyFont="1" applyBorder="1" applyAlignment="1">
      <alignment vertical="center" wrapText="1"/>
    </xf>
    <xf numFmtId="0" fontId="23" fillId="4" borderId="4" xfId="14" applyFont="1" applyFill="1" applyBorder="1" applyAlignment="1">
      <alignment horizontal="center" vertical="center" wrapText="1"/>
    </xf>
    <xf numFmtId="0" fontId="23" fillId="0" borderId="0" xfId="10" applyFont="1" applyAlignment="1">
      <alignment horizontal="centerContinuous" vertical="center"/>
    </xf>
    <xf numFmtId="0" fontId="18" fillId="0" borderId="0" xfId="10" applyFont="1" applyAlignment="1">
      <alignment horizontal="centerContinuous" vertical="center"/>
    </xf>
    <xf numFmtId="0" fontId="23" fillId="4" borderId="4" xfId="10" quotePrefix="1" applyFont="1" applyFill="1" applyBorder="1" applyAlignment="1">
      <alignment horizontal="center" vertical="center" wrapText="1"/>
    </xf>
    <xf numFmtId="0" fontId="23" fillId="4" borderId="4" xfId="10" applyFont="1" applyFill="1" applyBorder="1" applyAlignment="1">
      <alignment horizontal="left" vertical="center" wrapText="1"/>
    </xf>
    <xf numFmtId="0" fontId="23" fillId="4" borderId="4" xfId="10" applyFont="1" applyFill="1" applyBorder="1" applyAlignment="1">
      <alignment horizontal="center" vertical="center"/>
    </xf>
    <xf numFmtId="0" fontId="18" fillId="4" borderId="4" xfId="14" applyFont="1" applyFill="1" applyBorder="1">
      <alignment vertical="center"/>
    </xf>
    <xf numFmtId="0" fontId="18" fillId="4" borderId="4" xfId="10" applyFont="1" applyFill="1" applyBorder="1" applyAlignment="1">
      <alignment horizontal="center" vertical="center"/>
    </xf>
    <xf numFmtId="0" fontId="18" fillId="4" borderId="4" xfId="10" applyFont="1" applyFill="1" applyBorder="1" applyAlignment="1">
      <alignment vertical="center" wrapText="1"/>
    </xf>
    <xf numFmtId="0" fontId="23" fillId="4" borderId="4" xfId="10" applyFont="1" applyFill="1" applyBorder="1" applyAlignment="1">
      <alignment vertical="center" wrapText="1"/>
    </xf>
    <xf numFmtId="0" fontId="18" fillId="4" borderId="4" xfId="10" applyFont="1" applyFill="1" applyBorder="1" applyAlignment="1">
      <alignment vertical="center"/>
    </xf>
    <xf numFmtId="0" fontId="23" fillId="4" borderId="0" xfId="10" applyFont="1" applyFill="1" applyAlignment="1">
      <alignment vertical="center"/>
    </xf>
    <xf numFmtId="0" fontId="18" fillId="4" borderId="0" xfId="10" applyFont="1" applyFill="1" applyAlignment="1">
      <alignment vertical="center"/>
    </xf>
    <xf numFmtId="166" fontId="18" fillId="0" borderId="0" xfId="10" applyNumberFormat="1" applyFont="1" applyAlignment="1">
      <alignment vertical="center"/>
    </xf>
    <xf numFmtId="0" fontId="25" fillId="0" borderId="0" xfId="10" applyFont="1" applyAlignment="1">
      <alignment horizontal="left" vertical="center"/>
    </xf>
    <xf numFmtId="0" fontId="18" fillId="0" borderId="0" xfId="0" applyFont="1" applyAlignment="1">
      <alignment vertical="center"/>
    </xf>
    <xf numFmtId="0" fontId="23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vertical="center"/>
    </xf>
    <xf numFmtId="0" fontId="18" fillId="0" borderId="4" xfId="0" applyFont="1" applyBorder="1" applyAlignment="1">
      <alignment vertical="center" wrapText="1"/>
    </xf>
    <xf numFmtId="0" fontId="27" fillId="0" borderId="0" xfId="10" applyFont="1" applyAlignment="1">
      <alignment vertical="center"/>
    </xf>
    <xf numFmtId="16" fontId="23" fillId="0" borderId="4" xfId="1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vertical="center" wrapText="1"/>
    </xf>
    <xf numFmtId="2" fontId="18" fillId="0" borderId="4" xfId="0" applyNumberFormat="1" applyFont="1" applyBorder="1" applyAlignment="1">
      <alignment vertical="center"/>
    </xf>
    <xf numFmtId="0" fontId="18" fillId="0" borderId="4" xfId="0" applyFont="1" applyBorder="1" applyAlignment="1">
      <alignment horizontal="center" vertical="center" wrapText="1"/>
    </xf>
    <xf numFmtId="2" fontId="18" fillId="0" borderId="4" xfId="0" applyNumberFormat="1" applyFont="1" applyBorder="1" applyAlignment="1">
      <alignment horizontal="right" vertical="center"/>
    </xf>
    <xf numFmtId="0" fontId="23" fillId="0" borderId="8" xfId="0" applyFont="1" applyBorder="1" applyAlignment="1">
      <alignment vertical="center" wrapText="1"/>
    </xf>
    <xf numFmtId="2" fontId="23" fillId="0" borderId="4" xfId="0" applyNumberFormat="1" applyFont="1" applyBorder="1" applyAlignment="1">
      <alignment vertical="center"/>
    </xf>
    <xf numFmtId="0" fontId="23" fillId="0" borderId="4" xfId="0" applyFont="1" applyBorder="1" applyAlignment="1">
      <alignment vertical="center" wrapText="1"/>
    </xf>
    <xf numFmtId="2" fontId="23" fillId="0" borderId="4" xfId="0" applyNumberFormat="1" applyFont="1" applyBorder="1" applyAlignment="1">
      <alignment horizontal="right" vertical="center"/>
    </xf>
    <xf numFmtId="2" fontId="18" fillId="0" borderId="4" xfId="10" applyNumberFormat="1" applyFont="1" applyBorder="1" applyAlignment="1">
      <alignment horizontal="center" vertical="center"/>
    </xf>
    <xf numFmtId="2" fontId="23" fillId="6" borderId="4" xfId="0" applyNumberFormat="1" applyFont="1" applyFill="1" applyBorder="1" applyAlignment="1">
      <alignment vertical="center"/>
    </xf>
    <xf numFmtId="2" fontId="23" fillId="0" borderId="4" xfId="10" applyNumberFormat="1" applyFont="1" applyBorder="1" applyAlignment="1">
      <alignment horizontal="center" vertical="center" wrapText="1"/>
    </xf>
    <xf numFmtId="2" fontId="18" fillId="0" borderId="4" xfId="10" applyNumberFormat="1" applyFont="1" applyBorder="1" applyAlignment="1">
      <alignment horizontal="center" vertical="center" wrapText="1"/>
    </xf>
    <xf numFmtId="2" fontId="23" fillId="6" borderId="4" xfId="0" applyNumberFormat="1" applyFont="1" applyFill="1" applyBorder="1" applyAlignment="1">
      <alignment horizontal="right" vertical="center"/>
    </xf>
    <xf numFmtId="2" fontId="23" fillId="6" borderId="4" xfId="14" applyNumberFormat="1" applyFont="1" applyFill="1" applyBorder="1">
      <alignment vertical="center"/>
    </xf>
    <xf numFmtId="0" fontId="23" fillId="0" borderId="8" xfId="14" applyFont="1" applyBorder="1">
      <alignment vertical="center"/>
    </xf>
    <xf numFmtId="2" fontId="23" fillId="6" borderId="8" xfId="14" applyNumberFormat="1" applyFont="1" applyFill="1" applyBorder="1">
      <alignment vertical="center"/>
    </xf>
    <xf numFmtId="10" fontId="18" fillId="0" borderId="8" xfId="14" applyNumberFormat="1" applyFont="1" applyBorder="1">
      <alignment vertical="center"/>
    </xf>
    <xf numFmtId="2" fontId="18" fillId="0" borderId="8" xfId="14" applyNumberFormat="1" applyFont="1" applyBorder="1">
      <alignment vertical="center"/>
    </xf>
    <xf numFmtId="2" fontId="18" fillId="0" borderId="4" xfId="10" applyNumberFormat="1" applyFont="1" applyBorder="1" applyAlignment="1">
      <alignment vertical="center"/>
    </xf>
    <xf numFmtId="2" fontId="18" fillId="0" borderId="4" xfId="14" applyNumberFormat="1" applyFont="1" applyBorder="1" applyAlignment="1">
      <alignment horizontal="center" vertical="center"/>
    </xf>
    <xf numFmtId="2" fontId="23" fillId="6" borderId="4" xfId="14" applyNumberFormat="1" applyFont="1" applyFill="1" applyBorder="1" applyAlignment="1">
      <alignment horizontal="center" vertical="center"/>
    </xf>
    <xf numFmtId="10" fontId="23" fillId="6" borderId="4" xfId="14" applyNumberFormat="1" applyFont="1" applyFill="1" applyBorder="1">
      <alignment vertical="center"/>
    </xf>
    <xf numFmtId="2" fontId="23" fillId="6" borderId="4" xfId="10" applyNumberFormat="1" applyFont="1" applyFill="1" applyBorder="1"/>
    <xf numFmtId="2" fontId="18" fillId="0" borderId="4" xfId="10" applyNumberFormat="1" applyFont="1" applyBorder="1" applyAlignment="1">
      <alignment horizontal="right" vertical="center"/>
    </xf>
    <xf numFmtId="2" fontId="23" fillId="0" borderId="4" xfId="14" applyNumberFormat="1" applyFont="1" applyBorder="1" applyAlignment="1">
      <alignment horizontal="center" vertical="center"/>
    </xf>
    <xf numFmtId="0" fontId="18" fillId="0" borderId="4" xfId="14" applyFont="1" applyBorder="1" applyAlignment="1">
      <alignment horizontal="right" vertical="center"/>
    </xf>
    <xf numFmtId="2" fontId="18" fillId="0" borderId="4" xfId="14" applyNumberFormat="1" applyFont="1" applyBorder="1" applyAlignment="1">
      <alignment horizontal="right" vertical="center"/>
    </xf>
    <xf numFmtId="0" fontId="18" fillId="0" borderId="4" xfId="10" applyFont="1" applyBorder="1" applyAlignment="1">
      <alignment horizontal="right" vertical="center" wrapText="1"/>
    </xf>
    <xf numFmtId="2" fontId="18" fillId="0" borderId="4" xfId="10" applyNumberFormat="1" applyFont="1" applyBorder="1" applyAlignment="1">
      <alignment horizontal="right" vertical="center" wrapText="1"/>
    </xf>
    <xf numFmtId="0" fontId="18" fillId="0" borderId="8" xfId="14" applyFont="1" applyBorder="1" applyAlignment="1">
      <alignment horizontal="right" vertical="center"/>
    </xf>
    <xf numFmtId="2" fontId="23" fillId="6" borderId="8" xfId="14" applyNumberFormat="1" applyFont="1" applyFill="1" applyBorder="1" applyAlignment="1">
      <alignment horizontal="right" vertical="center"/>
    </xf>
    <xf numFmtId="2" fontId="18" fillId="6" borderId="8" xfId="14" applyNumberFormat="1" applyFont="1" applyFill="1" applyBorder="1">
      <alignment vertical="center"/>
    </xf>
    <xf numFmtId="0" fontId="23" fillId="0" borderId="3" xfId="14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2" fontId="23" fillId="0" borderId="4" xfId="10" applyNumberFormat="1" applyFont="1" applyBorder="1" applyAlignment="1">
      <alignment vertical="top" wrapText="1"/>
    </xf>
    <xf numFmtId="10" fontId="18" fillId="0" borderId="0" xfId="14" applyNumberFormat="1" applyFont="1">
      <alignment vertical="center"/>
    </xf>
    <xf numFmtId="2" fontId="18" fillId="0" borderId="8" xfId="14" applyNumberFormat="1" applyFont="1" applyBorder="1" applyAlignment="1">
      <alignment horizontal="right" vertical="center"/>
    </xf>
    <xf numFmtId="2" fontId="18" fillId="6" borderId="4" xfId="10" applyNumberFormat="1" applyFont="1" applyFill="1" applyBorder="1" applyAlignment="1">
      <alignment horizontal="right" vertical="center"/>
    </xf>
    <xf numFmtId="2" fontId="18" fillId="6" borderId="4" xfId="10" applyNumberFormat="1" applyFont="1" applyFill="1" applyBorder="1" applyAlignment="1">
      <alignment horizontal="right" vertical="center" wrapText="1"/>
    </xf>
    <xf numFmtId="2" fontId="23" fillId="6" borderId="4" xfId="10" applyNumberFormat="1" applyFont="1" applyFill="1" applyBorder="1" applyAlignment="1">
      <alignment horizontal="right" vertical="center"/>
    </xf>
    <xf numFmtId="2" fontId="18" fillId="0" borderId="0" xfId="14" applyNumberFormat="1" applyFont="1">
      <alignment vertical="center"/>
    </xf>
    <xf numFmtId="170" fontId="18" fillId="0" borderId="0" xfId="14" applyNumberFormat="1" applyFont="1">
      <alignment vertical="center"/>
    </xf>
    <xf numFmtId="1" fontId="18" fillId="0" borderId="0" xfId="14" applyNumberFormat="1" applyFont="1">
      <alignment vertical="center"/>
    </xf>
    <xf numFmtId="4" fontId="18" fillId="0" borderId="0" xfId="10" applyNumberFormat="1" applyFont="1" applyAlignment="1">
      <alignment vertical="center"/>
    </xf>
    <xf numFmtId="168" fontId="18" fillId="0" borderId="0" xfId="10" applyNumberFormat="1" applyFont="1" applyAlignment="1">
      <alignment vertical="center"/>
    </xf>
    <xf numFmtId="0" fontId="0" fillId="0" borderId="4" xfId="0" applyBorder="1"/>
    <xf numFmtId="164" fontId="18" fillId="0" borderId="4" xfId="70" applyFont="1" applyBorder="1" applyAlignment="1">
      <alignment horizontal="center" vertical="center"/>
    </xf>
    <xf numFmtId="164" fontId="18" fillId="0" borderId="4" xfId="70" applyFont="1" applyBorder="1" applyAlignment="1">
      <alignment vertical="center"/>
    </xf>
    <xf numFmtId="164" fontId="0" fillId="0" borderId="4" xfId="70" applyFont="1" applyBorder="1"/>
    <xf numFmtId="0" fontId="31" fillId="0" borderId="7" xfId="10" applyFont="1" applyBorder="1" applyAlignment="1">
      <alignment horizontal="center" vertical="center" wrapText="1"/>
    </xf>
    <xf numFmtId="0" fontId="31" fillId="0" borderId="4" xfId="10" applyFont="1" applyBorder="1" applyAlignment="1">
      <alignment vertical="center" wrapText="1"/>
    </xf>
    <xf numFmtId="0" fontId="31" fillId="0" borderId="4" xfId="10" applyFont="1" applyBorder="1" applyAlignment="1">
      <alignment horizontal="center" vertical="center" wrapText="1"/>
    </xf>
    <xf numFmtId="2" fontId="23" fillId="0" borderId="16" xfId="10" applyNumberFormat="1" applyFont="1" applyBorder="1" applyAlignment="1">
      <alignment vertical="center"/>
    </xf>
    <xf numFmtId="0" fontId="23" fillId="0" borderId="16" xfId="10" applyFont="1" applyBorder="1" applyAlignment="1">
      <alignment vertical="center" wrapText="1"/>
    </xf>
    <xf numFmtId="2" fontId="18" fillId="0" borderId="0" xfId="10" applyNumberFormat="1" applyFont="1" applyAlignment="1">
      <alignment horizontal="left" vertical="center"/>
    </xf>
    <xf numFmtId="164" fontId="18" fillId="0" borderId="0" xfId="10" applyNumberFormat="1" applyFont="1" applyAlignment="1">
      <alignment vertical="center"/>
    </xf>
    <xf numFmtId="0" fontId="10" fillId="0" borderId="4" xfId="14" applyFont="1" applyBorder="1" applyAlignment="1">
      <alignment vertical="center" wrapText="1"/>
    </xf>
    <xf numFmtId="2" fontId="18" fillId="0" borderId="0" xfId="10" applyNumberFormat="1" applyFont="1" applyAlignment="1">
      <alignment vertical="center"/>
    </xf>
    <xf numFmtId="2" fontId="23" fillId="6" borderId="4" xfId="14" applyNumberFormat="1" applyFont="1" applyFill="1" applyBorder="1" applyAlignment="1">
      <alignment horizontal="right" vertical="center"/>
    </xf>
    <xf numFmtId="2" fontId="23" fillId="5" borderId="4" xfId="14" applyNumberFormat="1" applyFont="1" applyFill="1" applyBorder="1" applyAlignment="1">
      <alignment horizontal="right" vertical="center"/>
    </xf>
    <xf numFmtId="2" fontId="23" fillId="0" borderId="4" xfId="14" applyNumberFormat="1" applyFont="1" applyBorder="1" applyAlignment="1">
      <alignment horizontal="right" vertical="center"/>
    </xf>
    <xf numFmtId="169" fontId="23" fillId="6" borderId="4" xfId="14" applyNumberFormat="1" applyFont="1" applyFill="1" applyBorder="1" applyAlignment="1">
      <alignment horizontal="right" vertical="center"/>
    </xf>
    <xf numFmtId="2" fontId="23" fillId="6" borderId="16" xfId="14" applyNumberFormat="1" applyFont="1" applyFill="1" applyBorder="1" applyAlignment="1">
      <alignment horizontal="right" vertical="center"/>
    </xf>
    <xf numFmtId="175" fontId="18" fillId="0" borderId="8" xfId="38" applyNumberFormat="1" applyFont="1" applyBorder="1" applyAlignment="1">
      <alignment vertical="center"/>
    </xf>
    <xf numFmtId="175" fontId="18" fillId="0" borderId="8" xfId="14" applyNumberFormat="1" applyFont="1" applyBorder="1">
      <alignment vertical="center"/>
    </xf>
    <xf numFmtId="175" fontId="23" fillId="6" borderId="8" xfId="14" applyNumberFormat="1" applyFont="1" applyFill="1" applyBorder="1">
      <alignment vertical="center"/>
    </xf>
    <xf numFmtId="2" fontId="18" fillId="0" borderId="4" xfId="14" applyNumberFormat="1" applyFont="1" applyBorder="1" applyAlignment="1">
      <alignment horizontal="right" vertical="center" wrapText="1"/>
    </xf>
    <xf numFmtId="164" fontId="32" fillId="7" borderId="16" xfId="94" applyFont="1" applyFill="1" applyBorder="1"/>
    <xf numFmtId="2" fontId="34" fillId="0" borderId="16" xfId="10" applyNumberFormat="1" applyFont="1" applyBorder="1" applyAlignment="1">
      <alignment horizontal="right" vertical="center"/>
    </xf>
    <xf numFmtId="2" fontId="33" fillId="0" borderId="16" xfId="10" applyNumberFormat="1" applyFont="1" applyBorder="1" applyAlignment="1">
      <alignment horizontal="right" vertical="center"/>
    </xf>
    <xf numFmtId="164" fontId="18" fillId="0" borderId="0" xfId="10" applyNumberFormat="1" applyFont="1" applyAlignment="1">
      <alignment horizontal="right" vertical="center"/>
    </xf>
    <xf numFmtId="0" fontId="23" fillId="0" borderId="16" xfId="10" applyFont="1" applyBorder="1" applyAlignment="1">
      <alignment horizontal="center" vertical="center" wrapText="1"/>
    </xf>
    <xf numFmtId="16" fontId="23" fillId="0" borderId="16" xfId="10" applyNumberFormat="1" applyFont="1" applyBorder="1" applyAlignment="1">
      <alignment horizontal="center" vertical="center" wrapText="1"/>
    </xf>
    <xf numFmtId="0" fontId="18" fillId="0" borderId="16" xfId="10" applyFont="1" applyBorder="1" applyAlignment="1">
      <alignment horizontal="center" vertical="center" wrapText="1"/>
    </xf>
    <xf numFmtId="2" fontId="35" fillId="0" borderId="16" xfId="10" applyNumberFormat="1" applyFont="1" applyBorder="1" applyAlignment="1">
      <alignment vertical="center"/>
    </xf>
    <xf numFmtId="0" fontId="18" fillId="0" borderId="16" xfId="10" applyFont="1" applyBorder="1" applyAlignment="1">
      <alignment horizontal="left" vertical="center" wrapText="1"/>
    </xf>
    <xf numFmtId="0" fontId="23" fillId="0" borderId="16" xfId="10" applyFont="1" applyBorder="1" applyAlignment="1">
      <alignment vertical="center"/>
    </xf>
    <xf numFmtId="2" fontId="23" fillId="6" borderId="16" xfId="10" applyNumberFormat="1" applyFont="1" applyFill="1" applyBorder="1" applyAlignment="1">
      <alignment vertical="center"/>
    </xf>
    <xf numFmtId="0" fontId="23" fillId="0" borderId="16" xfId="10" applyFont="1" applyBorder="1" applyAlignment="1">
      <alignment horizontal="left" vertical="center"/>
    </xf>
    <xf numFmtId="0" fontId="23" fillId="0" borderId="16" xfId="10" applyFont="1" applyBorder="1" applyAlignment="1">
      <alignment horizontal="right" vertical="center"/>
    </xf>
    <xf numFmtId="0" fontId="18" fillId="0" borderId="16" xfId="10" applyFont="1" applyBorder="1" applyAlignment="1">
      <alignment vertical="center"/>
    </xf>
    <xf numFmtId="2" fontId="23" fillId="0" borderId="16" xfId="10" applyNumberFormat="1" applyFont="1" applyBorder="1" applyAlignment="1">
      <alignment horizontal="right" vertical="center"/>
    </xf>
    <xf numFmtId="0" fontId="35" fillId="0" borderId="16" xfId="10" applyFont="1" applyBorder="1" applyAlignment="1">
      <alignment vertical="center"/>
    </xf>
    <xf numFmtId="0" fontId="23" fillId="4" borderId="7" xfId="67" applyFont="1" applyFill="1" applyBorder="1" applyAlignment="1">
      <alignment horizontal="center" vertical="center" wrapText="1"/>
    </xf>
    <xf numFmtId="0" fontId="23" fillId="4" borderId="17" xfId="67" applyFont="1" applyFill="1" applyBorder="1" applyAlignment="1">
      <alignment horizontal="center" vertical="center" wrapText="1"/>
    </xf>
    <xf numFmtId="0" fontId="18" fillId="4" borderId="16" xfId="67" applyFont="1" applyFill="1" applyBorder="1" applyAlignment="1">
      <alignment horizontal="center" vertical="center"/>
    </xf>
    <xf numFmtId="0" fontId="18" fillId="4" borderId="16" xfId="67" applyFont="1" applyFill="1" applyBorder="1" applyAlignment="1">
      <alignment horizontal="left" vertical="center"/>
    </xf>
    <xf numFmtId="0" fontId="18" fillId="0" borderId="16" xfId="0" applyFont="1" applyBorder="1"/>
    <xf numFmtId="164" fontId="26" fillId="0" borderId="16" xfId="70" applyFont="1" applyBorder="1"/>
    <xf numFmtId="164" fontId="18" fillId="0" borderId="16" xfId="70" applyFont="1" applyBorder="1"/>
    <xf numFmtId="164" fontId="18" fillId="4" borderId="16" xfId="70" applyFont="1" applyFill="1" applyBorder="1" applyAlignment="1">
      <alignment horizontal="right" vertical="center"/>
    </xf>
    <xf numFmtId="10" fontId="26" fillId="0" borderId="16" xfId="0" applyNumberFormat="1" applyFont="1" applyBorder="1"/>
    <xf numFmtId="164" fontId="2" fillId="0" borderId="16" xfId="70" applyFont="1" applyBorder="1"/>
    <xf numFmtId="164" fontId="2" fillId="0" borderId="16" xfId="462" applyNumberFormat="1" applyBorder="1"/>
    <xf numFmtId="164" fontId="2" fillId="0" borderId="16" xfId="465" applyNumberFormat="1" applyBorder="1"/>
    <xf numFmtId="164" fontId="2" fillId="0" borderId="16" xfId="466" applyNumberFormat="1" applyBorder="1"/>
    <xf numFmtId="164" fontId="36" fillId="0" borderId="16" xfId="466" applyNumberFormat="1" applyFont="1" applyBorder="1"/>
    <xf numFmtId="164" fontId="18" fillId="0" borderId="16" xfId="14" applyNumberFormat="1" applyFont="1" applyBorder="1">
      <alignment vertical="center"/>
    </xf>
    <xf numFmtId="164" fontId="18" fillId="0" borderId="4" xfId="14" applyNumberFormat="1" applyFont="1" applyBorder="1">
      <alignment vertical="center"/>
    </xf>
    <xf numFmtId="0" fontId="23" fillId="4" borderId="16" xfId="67" applyFont="1" applyFill="1" applyBorder="1" applyAlignment="1">
      <alignment horizontal="center" vertical="center" wrapText="1"/>
    </xf>
    <xf numFmtId="2" fontId="23" fillId="6" borderId="16" xfId="19" applyNumberFormat="1" applyFont="1" applyFill="1" applyBorder="1" applyAlignment="1">
      <alignment horizontal="right" vertical="center"/>
    </xf>
    <xf numFmtId="0" fontId="18" fillId="4" borderId="16" xfId="67" applyFont="1" applyFill="1" applyBorder="1" applyAlignment="1">
      <alignment horizontal="right" vertical="center"/>
    </xf>
    <xf numFmtId="0" fontId="23" fillId="4" borderId="16" xfId="67" applyFont="1" applyFill="1" applyBorder="1" applyAlignment="1">
      <alignment horizontal="right" vertical="center"/>
    </xf>
    <xf numFmtId="10" fontId="23" fillId="6" borderId="16" xfId="67" applyNumberFormat="1" applyFont="1" applyFill="1" applyBorder="1" applyAlignment="1">
      <alignment horizontal="right" vertical="center"/>
    </xf>
    <xf numFmtId="164" fontId="18" fillId="0" borderId="16" xfId="10" applyNumberFormat="1" applyFont="1" applyBorder="1" applyAlignment="1">
      <alignment vertical="center"/>
    </xf>
    <xf numFmtId="0" fontId="23" fillId="4" borderId="16" xfId="67" applyFont="1" applyFill="1" applyBorder="1" applyAlignment="1">
      <alignment horizontal="center" vertical="center"/>
    </xf>
    <xf numFmtId="10" fontId="23" fillId="6" borderId="16" xfId="67" applyNumberFormat="1" applyFont="1" applyFill="1" applyBorder="1" applyAlignment="1">
      <alignment horizontal="center" vertical="center"/>
    </xf>
    <xf numFmtId="2" fontId="23" fillId="6" borderId="16" xfId="19" applyNumberFormat="1" applyFont="1" applyFill="1" applyBorder="1" applyAlignment="1">
      <alignment horizontal="center" vertical="center"/>
    </xf>
    <xf numFmtId="164" fontId="26" fillId="5" borderId="16" xfId="70" applyFont="1" applyFill="1" applyBorder="1"/>
    <xf numFmtId="176" fontId="33" fillId="0" borderId="16" xfId="10" applyNumberFormat="1" applyFont="1" applyBorder="1" applyAlignment="1">
      <alignment horizontal="right" vertical="center"/>
    </xf>
    <xf numFmtId="43" fontId="33" fillId="0" borderId="16" xfId="94" applyNumberFormat="1" applyFont="1" applyBorder="1" applyAlignment="1">
      <alignment horizontal="right" vertical="center"/>
    </xf>
    <xf numFmtId="0" fontId="18" fillId="4" borderId="11" xfId="67" applyFont="1" applyFill="1" applyBorder="1" applyAlignment="1">
      <alignment horizontal="right" vertical="center"/>
    </xf>
    <xf numFmtId="0" fontId="23" fillId="4" borderId="12" xfId="67" applyFont="1" applyFill="1" applyBorder="1" applyAlignment="1">
      <alignment horizontal="right" vertical="center"/>
    </xf>
    <xf numFmtId="10" fontId="23" fillId="6" borderId="12" xfId="67" applyNumberFormat="1" applyFont="1" applyFill="1" applyBorder="1" applyAlignment="1">
      <alignment horizontal="right" vertical="center"/>
    </xf>
    <xf numFmtId="2" fontId="23" fillId="6" borderId="12" xfId="19" applyNumberFormat="1" applyFont="1" applyFill="1" applyBorder="1" applyAlignment="1">
      <alignment horizontal="right" vertical="center"/>
    </xf>
    <xf numFmtId="164" fontId="23" fillId="0" borderId="16" xfId="10" applyNumberFormat="1" applyFont="1" applyBorder="1" applyAlignment="1">
      <alignment vertical="center"/>
    </xf>
    <xf numFmtId="0" fontId="23" fillId="0" borderId="0" xfId="10" applyFont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7" xfId="10" applyFont="1" applyBorder="1" applyAlignment="1">
      <alignment horizontal="center" vertical="center" wrapText="1"/>
    </xf>
    <xf numFmtId="0" fontId="15" fillId="0" borderId="0" xfId="14" applyFont="1" applyAlignment="1">
      <alignment horizontal="center" vertical="center"/>
    </xf>
    <xf numFmtId="0" fontId="10" fillId="0" borderId="0" xfId="10" applyFont="1" applyAlignment="1">
      <alignment horizontal="center" vertical="center"/>
    </xf>
    <xf numFmtId="0" fontId="15" fillId="0" borderId="0" xfId="10" applyFont="1" applyAlignment="1">
      <alignment horizontal="center" vertical="center" wrapText="1"/>
    </xf>
    <xf numFmtId="0" fontId="10" fillId="0" borderId="0" xfId="10" applyFont="1" applyAlignment="1">
      <alignment horizontal="center" vertical="center" wrapText="1"/>
    </xf>
    <xf numFmtId="0" fontId="23" fillId="0" borderId="7" xfId="14" applyFont="1" applyBorder="1" applyAlignment="1">
      <alignment horizontal="center" vertical="center"/>
    </xf>
    <xf numFmtId="0" fontId="23" fillId="0" borderId="9" xfId="14" applyFont="1" applyBorder="1" applyAlignment="1">
      <alignment horizontal="center" vertical="center"/>
    </xf>
    <xf numFmtId="0" fontId="23" fillId="0" borderId="6" xfId="14" applyFont="1" applyBorder="1" applyAlignment="1">
      <alignment horizontal="center" vertical="center"/>
    </xf>
    <xf numFmtId="0" fontId="23" fillId="0" borderId="7" xfId="14" applyFont="1" applyBorder="1" applyAlignment="1">
      <alignment horizontal="center" vertical="center" wrapText="1"/>
    </xf>
    <xf numFmtId="0" fontId="23" fillId="0" borderId="9" xfId="14" applyFont="1" applyBorder="1" applyAlignment="1">
      <alignment horizontal="center" vertical="center" wrapText="1"/>
    </xf>
    <xf numFmtId="0" fontId="18" fillId="0" borderId="6" xfId="10" applyFont="1" applyBorder="1" applyAlignment="1">
      <alignment horizontal="center" vertical="center" wrapText="1"/>
    </xf>
    <xf numFmtId="0" fontId="23" fillId="0" borderId="4" xfId="14" applyFont="1" applyBorder="1" applyAlignment="1">
      <alignment horizontal="center" vertical="center"/>
    </xf>
    <xf numFmtId="0" fontId="18" fillId="0" borderId="4" xfId="10" applyFont="1" applyBorder="1" applyAlignment="1">
      <alignment horizontal="center" vertical="center"/>
    </xf>
    <xf numFmtId="0" fontId="23" fillId="0" borderId="4" xfId="14" applyFont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 wrapText="1"/>
    </xf>
    <xf numFmtId="0" fontId="23" fillId="0" borderId="5" xfId="14" applyFont="1" applyBorder="1" applyAlignment="1">
      <alignment horizontal="center" vertical="center" wrapText="1"/>
    </xf>
    <xf numFmtId="0" fontId="23" fillId="0" borderId="3" xfId="14" applyFont="1" applyBorder="1" applyAlignment="1">
      <alignment horizontal="center" vertical="center" wrapText="1"/>
    </xf>
    <xf numFmtId="0" fontId="23" fillId="0" borderId="8" xfId="14" applyFont="1" applyBorder="1" applyAlignment="1">
      <alignment horizontal="center" vertical="center" wrapText="1"/>
    </xf>
    <xf numFmtId="0" fontId="23" fillId="0" borderId="0" xfId="10" applyFont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4" xfId="10" applyFont="1" applyBorder="1" applyAlignment="1">
      <alignment horizontal="center" vertical="center" wrapText="1"/>
    </xf>
    <xf numFmtId="0" fontId="23" fillId="0" borderId="7" xfId="10" applyFont="1" applyBorder="1" applyAlignment="1">
      <alignment horizontal="center" vertical="center" wrapText="1"/>
    </xf>
    <xf numFmtId="0" fontId="23" fillId="0" borderId="9" xfId="10" applyFont="1" applyBorder="1" applyAlignment="1">
      <alignment horizontal="center" vertical="center" wrapText="1"/>
    </xf>
    <xf numFmtId="0" fontId="23" fillId="0" borderId="6" xfId="10" applyFont="1" applyBorder="1" applyAlignment="1">
      <alignment horizontal="center" vertical="center" wrapText="1"/>
    </xf>
    <xf numFmtId="0" fontId="18" fillId="0" borderId="4" xfId="10" applyFont="1" applyBorder="1" applyAlignment="1">
      <alignment vertical="center"/>
    </xf>
    <xf numFmtId="0" fontId="23" fillId="0" borderId="4" xfId="10" applyFont="1" applyBorder="1" applyAlignment="1">
      <alignment horizontal="center" vertical="center"/>
    </xf>
    <xf numFmtId="164" fontId="23" fillId="4" borderId="13" xfId="67" applyNumberFormat="1" applyFont="1" applyFill="1" applyBorder="1" applyAlignment="1">
      <alignment horizontal="center" vertical="center"/>
    </xf>
    <xf numFmtId="0" fontId="23" fillId="4" borderId="14" xfId="67" applyFont="1" applyFill="1" applyBorder="1" applyAlignment="1">
      <alignment horizontal="center" vertical="center"/>
    </xf>
    <xf numFmtId="0" fontId="23" fillId="4" borderId="15" xfId="67" applyFont="1" applyFill="1" applyBorder="1" applyAlignment="1">
      <alignment horizontal="center" vertical="center"/>
    </xf>
    <xf numFmtId="0" fontId="23" fillId="4" borderId="16" xfId="67" applyFont="1" applyFill="1" applyBorder="1" applyAlignment="1">
      <alignment horizontal="center" vertical="center" wrapText="1"/>
    </xf>
    <xf numFmtId="0" fontId="23" fillId="4" borderId="16" xfId="67" quotePrefix="1" applyFont="1" applyFill="1" applyBorder="1" applyAlignment="1">
      <alignment horizontal="center" vertical="center" wrapText="1"/>
    </xf>
    <xf numFmtId="0" fontId="23" fillId="4" borderId="4" xfId="67" applyFont="1" applyFill="1" applyBorder="1" applyAlignment="1">
      <alignment horizontal="center" vertical="center" wrapText="1"/>
    </xf>
    <xf numFmtId="0" fontId="23" fillId="4" borderId="10" xfId="67" applyFont="1" applyFill="1" applyBorder="1" applyAlignment="1">
      <alignment horizontal="center" vertical="center" wrapText="1"/>
    </xf>
    <xf numFmtId="0" fontId="23" fillId="4" borderId="16" xfId="67" applyFont="1" applyFill="1" applyBorder="1" applyAlignment="1">
      <alignment horizontal="center" vertical="center"/>
    </xf>
    <xf numFmtId="0" fontId="23" fillId="0" borderId="3" xfId="10" applyFont="1" applyBorder="1" applyAlignment="1">
      <alignment horizontal="center" vertical="center"/>
    </xf>
    <xf numFmtId="0" fontId="23" fillId="0" borderId="8" xfId="10" applyFont="1" applyBorder="1" applyAlignment="1">
      <alignment horizontal="center" vertical="center"/>
    </xf>
    <xf numFmtId="0" fontId="11" fillId="0" borderId="4" xfId="10" applyBorder="1" applyAlignment="1">
      <alignment horizontal="center" vertical="center" wrapText="1"/>
    </xf>
    <xf numFmtId="0" fontId="11" fillId="0" borderId="4" xfId="10" applyBorder="1" applyAlignment="1">
      <alignment horizontal="center" vertical="center"/>
    </xf>
    <xf numFmtId="0" fontId="23" fillId="0" borderId="5" xfId="10" applyFont="1" applyBorder="1" applyAlignment="1">
      <alignment horizontal="center" vertical="center"/>
    </xf>
    <xf numFmtId="0" fontId="23" fillId="0" borderId="0" xfId="14" applyFont="1" applyAlignment="1">
      <alignment horizontal="center" vertical="center"/>
    </xf>
    <xf numFmtId="0" fontId="23" fillId="0" borderId="16" xfId="14" applyFont="1" applyBorder="1" applyAlignment="1">
      <alignment horizontal="center" vertical="center" wrapText="1"/>
    </xf>
    <xf numFmtId="0" fontId="23" fillId="0" borderId="16" xfId="10" applyFont="1" applyBorder="1" applyAlignment="1">
      <alignment horizontal="center" vertical="center"/>
    </xf>
    <xf numFmtId="0" fontId="18" fillId="0" borderId="16" xfId="10" applyFont="1" applyBorder="1" applyAlignment="1">
      <alignment horizontal="center" vertical="center"/>
    </xf>
    <xf numFmtId="0" fontId="38" fillId="0" borderId="16" xfId="10" applyFont="1" applyBorder="1" applyAlignment="1">
      <alignment horizontal="center" vertical="center" wrapText="1"/>
    </xf>
    <xf numFmtId="0" fontId="23" fillId="0" borderId="7" xfId="10" applyFont="1" applyBorder="1" applyAlignment="1">
      <alignment horizontal="left" vertical="center" wrapText="1"/>
    </xf>
    <xf numFmtId="2" fontId="23" fillId="0" borderId="7" xfId="10" applyNumberFormat="1" applyFont="1" applyBorder="1" applyAlignment="1">
      <alignment horizontal="center" vertical="center" wrapText="1"/>
    </xf>
    <xf numFmtId="2" fontId="23" fillId="0" borderId="16" xfId="10" applyNumberFormat="1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 wrapText="1"/>
    </xf>
    <xf numFmtId="0" fontId="18" fillId="0" borderId="7" xfId="10" applyFont="1" applyBorder="1" applyAlignment="1">
      <alignment vertical="center"/>
    </xf>
    <xf numFmtId="0" fontId="32" fillId="0" borderId="16" xfId="0" applyFont="1" applyBorder="1" applyAlignment="1">
      <alignment vertical="center" wrapText="1"/>
    </xf>
    <xf numFmtId="0" fontId="23" fillId="0" borderId="7" xfId="10" applyFont="1" applyBorder="1" applyAlignment="1">
      <alignment vertical="top" wrapText="1"/>
    </xf>
    <xf numFmtId="0" fontId="32" fillId="0" borderId="16" xfId="0" applyFont="1" applyBorder="1" applyAlignment="1">
      <alignment vertical="top" wrapText="1"/>
    </xf>
    <xf numFmtId="0" fontId="18" fillId="0" borderId="16" xfId="0" applyFont="1" applyBorder="1" applyAlignment="1">
      <alignment vertical="top" wrapText="1"/>
    </xf>
    <xf numFmtId="0" fontId="32" fillId="0" borderId="7" xfId="0" applyFont="1" applyBorder="1" applyAlignment="1">
      <alignment vertical="center" wrapText="1"/>
    </xf>
  </cellXfs>
  <cellStyles count="504">
    <cellStyle name="Body" xfId="1"/>
    <cellStyle name="Comma" xfId="70" builtinId="3"/>
    <cellStyle name="Comma  - Style1" xfId="2"/>
    <cellStyle name="Comma 10" xfId="94"/>
    <cellStyle name="Comma 10 2" xfId="95"/>
    <cellStyle name="Comma 10 2 2" xfId="498"/>
    <cellStyle name="Comma 10 3" xfId="251"/>
    <cellStyle name="Comma 10 3 2" xfId="494"/>
    <cellStyle name="Comma 10 3_F2.1" xfId="467"/>
    <cellStyle name="Comma 10 4" xfId="264"/>
    <cellStyle name="Comma 10 4 2" xfId="503"/>
    <cellStyle name="Comma 10 4_F2.1" xfId="468"/>
    <cellStyle name="Comma 10 5" xfId="488"/>
    <cellStyle name="Comma 11" xfId="96"/>
    <cellStyle name="Comma 11 2" xfId="19"/>
    <cellStyle name="Comma 11 2 10" xfId="435"/>
    <cellStyle name="Comma 11 2 11" xfId="490"/>
    <cellStyle name="Comma 11 2 2" xfId="97"/>
    <cellStyle name="Comma 11 2 2 2" xfId="98"/>
    <cellStyle name="Comma 11 2 2 3" xfId="92"/>
    <cellStyle name="Comma 11 2 2 4" xfId="347"/>
    <cellStyle name="Comma 11 2 2 5" xfId="366"/>
    <cellStyle name="Comma 11 2 2 6" xfId="384"/>
    <cellStyle name="Comma 11 2 2 7" xfId="400"/>
    <cellStyle name="Comma 11 2 2 8" xfId="416"/>
    <cellStyle name="Comma 11 2 2 9" xfId="499"/>
    <cellStyle name="Comma 11 2 3" xfId="208"/>
    <cellStyle name="Comma 11 2 4" xfId="348"/>
    <cellStyle name="Comma 11 2 5" xfId="357"/>
    <cellStyle name="Comma 11 2 6" xfId="375"/>
    <cellStyle name="Comma 11 2 7" xfId="393"/>
    <cellStyle name="Comma 11 2 8" xfId="409"/>
    <cellStyle name="Comma 11 2 9" xfId="71"/>
    <cellStyle name="Comma 11 2_F2.1" xfId="459"/>
    <cellStyle name="Comma 12" xfId="99"/>
    <cellStyle name="Comma 13" xfId="100"/>
    <cellStyle name="Comma 14" xfId="101"/>
    <cellStyle name="Comma 15" xfId="102"/>
    <cellStyle name="Comma 15 2" xfId="103"/>
    <cellStyle name="Comma 15 2 2" xfId="104"/>
    <cellStyle name="Comma 15 2 2 2" xfId="105"/>
    <cellStyle name="Comma 15 2 2 3" xfId="248"/>
    <cellStyle name="Comma 15 2 2 4" xfId="261"/>
    <cellStyle name="Comma 15 2 3" xfId="106"/>
    <cellStyle name="Comma 15 2 4" xfId="107"/>
    <cellStyle name="Comma 15 2 5" xfId="108"/>
    <cellStyle name="Comma 15 2 6" xfId="109"/>
    <cellStyle name="Comma 15 2 7" xfId="110"/>
    <cellStyle name="Comma 15 2 8" xfId="111"/>
    <cellStyle name="Comma 15 3" xfId="112"/>
    <cellStyle name="Comma 15 4" xfId="113"/>
    <cellStyle name="Comma 15 5" xfId="114"/>
    <cellStyle name="Comma 15 6" xfId="115"/>
    <cellStyle name="Comma 15 7" xfId="116"/>
    <cellStyle name="Comma 15 8" xfId="117"/>
    <cellStyle name="Comma 16" xfId="118"/>
    <cellStyle name="Comma 16 2" xfId="119"/>
    <cellStyle name="Comma 16 3" xfId="120"/>
    <cellStyle name="Comma 16 4" xfId="121"/>
    <cellStyle name="Comma 16 5" xfId="122"/>
    <cellStyle name="Comma 16 6" xfId="123"/>
    <cellStyle name="Comma 16 7" xfId="124"/>
    <cellStyle name="Comma 16 8" xfId="125"/>
    <cellStyle name="Comma 17" xfId="126"/>
    <cellStyle name="Comma 18" xfId="127"/>
    <cellStyle name="Comma 18 2" xfId="128"/>
    <cellStyle name="Comma 18 2 2" xfId="129"/>
    <cellStyle name="Comma 19" xfId="130"/>
    <cellStyle name="Comma 2" xfId="24"/>
    <cellStyle name="Comma 2 10" xfId="247"/>
    <cellStyle name="Comma 2 11" xfId="260"/>
    <cellStyle name="Comma 2 12" xfId="285"/>
    <cellStyle name="Comma 2 13" xfId="327"/>
    <cellStyle name="Comma 2 14" xfId="280"/>
    <cellStyle name="Comma 2 15" xfId="367"/>
    <cellStyle name="Comma 2 16" xfId="385"/>
    <cellStyle name="Comma 2 17" xfId="401"/>
    <cellStyle name="Comma 2 18" xfId="72"/>
    <cellStyle name="Comma 2 19" xfId="486"/>
    <cellStyle name="Comma 2 2" xfId="25"/>
    <cellStyle name="Comma 2 2 10" xfId="325"/>
    <cellStyle name="Comma 2 2 11" xfId="282"/>
    <cellStyle name="Comma 2 2 12" xfId="331"/>
    <cellStyle name="Comma 2 2 13" xfId="276"/>
    <cellStyle name="Comma 2 2 14" xfId="336"/>
    <cellStyle name="Comma 2 2 15" xfId="73"/>
    <cellStyle name="Comma 2 2 16" xfId="497"/>
    <cellStyle name="Comma 2 2 2" xfId="62"/>
    <cellStyle name="Comma 2 2 2 2" xfId="133"/>
    <cellStyle name="Comma 2 2 2 3" xfId="287"/>
    <cellStyle name="Comma 2 2 2 4" xfId="324"/>
    <cellStyle name="Comma 2 2 2 5" xfId="283"/>
    <cellStyle name="Comma 2 2 2 6" xfId="330"/>
    <cellStyle name="Comma 2 2 2 7" xfId="277"/>
    <cellStyle name="Comma 2 2 2 8" xfId="334"/>
    <cellStyle name="Comma 2 2 3" xfId="132"/>
    <cellStyle name="Comma 2 2 4" xfId="135"/>
    <cellStyle name="Comma 2 2 5" xfId="136"/>
    <cellStyle name="Comma 2 2 6" xfId="137"/>
    <cellStyle name="Comma 2 2 7" xfId="138"/>
    <cellStyle name="Comma 2 2 8" xfId="139"/>
    <cellStyle name="Comma 2 2 9" xfId="286"/>
    <cellStyle name="Comma 2 2_F2.1" xfId="469"/>
    <cellStyle name="Comma 2 3" xfId="26"/>
    <cellStyle name="Comma 2 3 10" xfId="493"/>
    <cellStyle name="Comma 2 3 2" xfId="140"/>
    <cellStyle name="Comma 2 3 3" xfId="295"/>
    <cellStyle name="Comma 2 3 4" xfId="312"/>
    <cellStyle name="Comma 2 3 5" xfId="298"/>
    <cellStyle name="Comma 2 3 6" xfId="311"/>
    <cellStyle name="Comma 2 3 7" xfId="299"/>
    <cellStyle name="Comma 2 3 8" xfId="310"/>
    <cellStyle name="Comma 2 3 9" xfId="74"/>
    <cellStyle name="Comma 2 3_F2.1" xfId="470"/>
    <cellStyle name="Comma 2 4" xfId="55"/>
    <cellStyle name="Comma 2 4 2" xfId="141"/>
    <cellStyle name="Comma 2 4 3" xfId="296"/>
    <cellStyle name="Comma 2 4 4" xfId="365"/>
    <cellStyle name="Comma 2 4 5" xfId="383"/>
    <cellStyle name="Comma 2 4 6" xfId="399"/>
    <cellStyle name="Comma 2 4 7" xfId="415"/>
    <cellStyle name="Comma 2 4 8" xfId="428"/>
    <cellStyle name="Comma 2 4 9" xfId="502"/>
    <cellStyle name="Comma 2 4_F2.1" xfId="471"/>
    <cellStyle name="Comma 2 5" xfId="131"/>
    <cellStyle name="Comma 2 6" xfId="143"/>
    <cellStyle name="Comma 2 7" xfId="144"/>
    <cellStyle name="Comma 2 8" xfId="145"/>
    <cellStyle name="Comma 2 9" xfId="146"/>
    <cellStyle name="Comma 2_F2.1" xfId="460"/>
    <cellStyle name="Comma 20" xfId="147"/>
    <cellStyle name="Comma 21" xfId="148"/>
    <cellStyle name="Comma 22" xfId="149"/>
    <cellStyle name="Comma 23" xfId="150"/>
    <cellStyle name="Comma 24" xfId="151"/>
    <cellStyle name="Comma 25" xfId="152"/>
    <cellStyle name="Comma 26" xfId="153"/>
    <cellStyle name="Comma 27" xfId="154"/>
    <cellStyle name="Comma 28" xfId="155"/>
    <cellStyle name="Comma 29" xfId="156"/>
    <cellStyle name="Comma 3" xfId="27"/>
    <cellStyle name="Comma 3 10" xfId="75"/>
    <cellStyle name="Comma 3 11" xfId="485"/>
    <cellStyle name="Comma 3 2" xfId="61"/>
    <cellStyle name="Comma 3 2 2" xfId="76"/>
    <cellStyle name="Comma 3 2 3" xfId="436"/>
    <cellStyle name="Comma 3 2 4" xfId="496"/>
    <cellStyle name="Comma 3 2_F2.1" xfId="472"/>
    <cellStyle name="Comma 3 3" xfId="157"/>
    <cellStyle name="Comma 3 3 2" xfId="492"/>
    <cellStyle name="Comma 3 4" xfId="301"/>
    <cellStyle name="Comma 3 4 2" xfId="501"/>
    <cellStyle name="Comma 3 5" xfId="361"/>
    <cellStyle name="Comma 3 6" xfId="379"/>
    <cellStyle name="Comma 3 7" xfId="396"/>
    <cellStyle name="Comma 3 8" xfId="412"/>
    <cellStyle name="Comma 3 9" xfId="426"/>
    <cellStyle name="Comma 3_F2.1" xfId="461"/>
    <cellStyle name="Comma 30" xfId="158"/>
    <cellStyle name="Comma 31" xfId="159"/>
    <cellStyle name="Comma 32" xfId="160"/>
    <cellStyle name="Comma 33" xfId="161"/>
    <cellStyle name="Comma 34" xfId="162"/>
    <cellStyle name="Comma 35" xfId="163"/>
    <cellStyle name="Comma 36" xfId="164"/>
    <cellStyle name="Comma 37" xfId="165"/>
    <cellStyle name="Comma 38" xfId="249"/>
    <cellStyle name="Comma 39" xfId="254"/>
    <cellStyle name="Comma 4" xfId="28"/>
    <cellStyle name="Comma 4 10" xfId="77"/>
    <cellStyle name="Comma 4 11" xfId="495"/>
    <cellStyle name="Comma 4 2" xfId="63"/>
    <cellStyle name="Comma 4 2 10" xfId="437"/>
    <cellStyle name="Comma 4 2 2" xfId="167"/>
    <cellStyle name="Comma 4 2 3" xfId="305"/>
    <cellStyle name="Comma 4 2 4" xfId="359"/>
    <cellStyle name="Comma 4 2 5" xfId="377"/>
    <cellStyle name="Comma 4 2 6" xfId="395"/>
    <cellStyle name="Comma 4 2 7" xfId="411"/>
    <cellStyle name="Comma 4 2 8" xfId="425"/>
    <cellStyle name="Comma 4 2 9" xfId="78"/>
    <cellStyle name="Comma 4 3" xfId="168"/>
    <cellStyle name="Comma 4 4" xfId="169"/>
    <cellStyle name="Comma 4 5" xfId="170"/>
    <cellStyle name="Comma 4 6" xfId="171"/>
    <cellStyle name="Comma 4 7" xfId="172"/>
    <cellStyle name="Comma 4 8" xfId="173"/>
    <cellStyle name="Comma 4 9" xfId="174"/>
    <cellStyle name="Comma 4_F2.1" xfId="473"/>
    <cellStyle name="Comma 40" xfId="256"/>
    <cellStyle name="Comma 41" xfId="258"/>
    <cellStyle name="Comma 42" xfId="262"/>
    <cellStyle name="Comma 43" xfId="266"/>
    <cellStyle name="Comma 44" xfId="451"/>
    <cellStyle name="Comma 45" xfId="453"/>
    <cellStyle name="Comma 46" xfId="455"/>
    <cellStyle name="Comma 47" xfId="457"/>
    <cellStyle name="Comma 48" xfId="458"/>
    <cellStyle name="Comma 49" xfId="421"/>
    <cellStyle name="Comma 5" xfId="29"/>
    <cellStyle name="Comma 5 10" xfId="176"/>
    <cellStyle name="Comma 5 11" xfId="308"/>
    <cellStyle name="Comma 5 12" xfId="302"/>
    <cellStyle name="Comma 5 13" xfId="307"/>
    <cellStyle name="Comma 5 14" xfId="303"/>
    <cellStyle name="Comma 5 15" xfId="306"/>
    <cellStyle name="Comma 5 16" xfId="304"/>
    <cellStyle name="Comma 5 17" xfId="79"/>
    <cellStyle name="Comma 5 18" xfId="438"/>
    <cellStyle name="Comma 5 19" xfId="491"/>
    <cellStyle name="Comma 5 2" xfId="175"/>
    <cellStyle name="Comma 5 2 2" xfId="177"/>
    <cellStyle name="Comma 5 2 3" xfId="309"/>
    <cellStyle name="Comma 5 2 4" xfId="300"/>
    <cellStyle name="Comma 5 2 5" xfId="364"/>
    <cellStyle name="Comma 5 2 6" xfId="382"/>
    <cellStyle name="Comma 5 2 7" xfId="398"/>
    <cellStyle name="Comma 5 2 8" xfId="414"/>
    <cellStyle name="Comma 5 3" xfId="178"/>
    <cellStyle name="Comma 5 3 2" xfId="179"/>
    <cellStyle name="Comma 5 3 3" xfId="180"/>
    <cellStyle name="Comma 5 3 4" xfId="181"/>
    <cellStyle name="Comma 5 3 5" xfId="182"/>
    <cellStyle name="Comma 5 3 6" xfId="183"/>
    <cellStyle name="Comma 5 3 7" xfId="184"/>
    <cellStyle name="Comma 5 3 8" xfId="185"/>
    <cellStyle name="Comma 5 4" xfId="186"/>
    <cellStyle name="Comma 5 4 2" xfId="187"/>
    <cellStyle name="Comma 5 4 2 2" xfId="188"/>
    <cellStyle name="Comma 5 4 2 3" xfId="250"/>
    <cellStyle name="Comma 5 4 2 4" xfId="263"/>
    <cellStyle name="Comma 5 5" xfId="189"/>
    <cellStyle name="Comma 5 6" xfId="190"/>
    <cellStyle name="Comma 5 7" xfId="191"/>
    <cellStyle name="Comma 5 8" xfId="192"/>
    <cellStyle name="Comma 5 9" xfId="193"/>
    <cellStyle name="Comma 50" xfId="480"/>
    <cellStyle name="Comma 6" xfId="47"/>
    <cellStyle name="Comma 6 2" xfId="48"/>
    <cellStyle name="Comma 6 3" xfId="49"/>
    <cellStyle name="Comma 6 4" xfId="50"/>
    <cellStyle name="Comma 6 5" xfId="80"/>
    <cellStyle name="Comma 6 6" xfId="500"/>
    <cellStyle name="Comma 6_F2.1" xfId="474"/>
    <cellStyle name="Comma 7" xfId="21"/>
    <cellStyle name="Comma 7 2" xfId="195"/>
    <cellStyle name="Comma 7 3" xfId="317"/>
    <cellStyle name="Comma 7 4" xfId="291"/>
    <cellStyle name="Comma 7 5" xfId="315"/>
    <cellStyle name="Comma 7 6" xfId="293"/>
    <cellStyle name="Comma 7 7" xfId="313"/>
    <cellStyle name="Comma 7 8" xfId="297"/>
    <cellStyle name="Comma 8" xfId="64"/>
    <cellStyle name="Comma 8 10" xfId="439"/>
    <cellStyle name="Comma 8 2" xfId="196"/>
    <cellStyle name="Comma 8 3" xfId="318"/>
    <cellStyle name="Comma 8 4" xfId="290"/>
    <cellStyle name="Comma 8 5" xfId="316"/>
    <cellStyle name="Comma 8 6" xfId="292"/>
    <cellStyle name="Comma 8 7" xfId="314"/>
    <cellStyle name="Comma 8 8" xfId="294"/>
    <cellStyle name="Comma 8 9" xfId="81"/>
    <cellStyle name="Comma 9" xfId="93"/>
    <cellStyle name="Comma 9 2" xfId="197"/>
    <cellStyle name="Comma 9 3" xfId="319"/>
    <cellStyle name="Comma 9 4" xfId="289"/>
    <cellStyle name="Comma 9 5" xfId="320"/>
    <cellStyle name="Comma 9 6" xfId="288"/>
    <cellStyle name="Comma 9 7" xfId="242"/>
    <cellStyle name="Comma 9 8" xfId="353"/>
    <cellStyle name="Curren - Style2" xfId="3"/>
    <cellStyle name="Grey" xfId="4"/>
    <cellStyle name="Header1" xfId="5"/>
    <cellStyle name="Header2" xfId="6"/>
    <cellStyle name="Hyperlink 2" xfId="198"/>
    <cellStyle name="Input [yellow]" xfId="7"/>
    <cellStyle name="no dec" xfId="8"/>
    <cellStyle name="Normal" xfId="0" builtinId="0"/>
    <cellStyle name="Normal - Style1" xfId="9"/>
    <cellStyle name="Normal 10" xfId="66"/>
    <cellStyle name="Normal 10 10" xfId="440"/>
    <cellStyle name="Normal 10 2" xfId="199"/>
    <cellStyle name="Normal 10 3" xfId="321"/>
    <cellStyle name="Normal 10 4" xfId="363"/>
    <cellStyle name="Normal 10 5" xfId="381"/>
    <cellStyle name="Normal 10 6" xfId="397"/>
    <cellStyle name="Normal 10 7" xfId="413"/>
    <cellStyle name="Normal 10 8" xfId="427"/>
    <cellStyle name="Normal 10 9" xfId="82"/>
    <cellStyle name="Normal 11" xfId="68"/>
    <cellStyle name="Normal 11 10" xfId="441"/>
    <cellStyle name="Normal 11 2" xfId="200"/>
    <cellStyle name="Normal 11 3" xfId="322"/>
    <cellStyle name="Normal 11 4" xfId="356"/>
    <cellStyle name="Normal 11 5" xfId="374"/>
    <cellStyle name="Normal 11 6" xfId="392"/>
    <cellStyle name="Normal 11 7" xfId="408"/>
    <cellStyle name="Normal 11 8" xfId="424"/>
    <cellStyle name="Normal 11 9" xfId="83"/>
    <cellStyle name="Normal 12" xfId="69"/>
    <cellStyle name="Normal 12 10" xfId="442"/>
    <cellStyle name="Normal 12 2" xfId="201"/>
    <cellStyle name="Normal 12 3" xfId="323"/>
    <cellStyle name="Normal 12 4" xfId="284"/>
    <cellStyle name="Normal 12 5" xfId="328"/>
    <cellStyle name="Normal 12 6" xfId="279"/>
    <cellStyle name="Normal 12 7" xfId="332"/>
    <cellStyle name="Normal 12 8" xfId="275"/>
    <cellStyle name="Normal 12 9" xfId="84"/>
    <cellStyle name="Normal 13" xfId="202"/>
    <cellStyle name="Normal 14" xfId="203"/>
    <cellStyle name="Normal 14 2" xfId="67"/>
    <cellStyle name="Normal 14 2 2" xfId="85"/>
    <cellStyle name="Normal 14 2 3" xfId="443"/>
    <cellStyle name="Normal 14 2 4" xfId="489"/>
    <cellStyle name="Normal 14 2_F2.1" xfId="463"/>
    <cellStyle name="Normal 15" xfId="18"/>
    <cellStyle name="Normal 15 10" xfId="444"/>
    <cellStyle name="Normal 15 2" xfId="204"/>
    <cellStyle name="Normal 15 3" xfId="326"/>
    <cellStyle name="Normal 15 4" xfId="281"/>
    <cellStyle name="Normal 15 5" xfId="358"/>
    <cellStyle name="Normal 15 6" xfId="376"/>
    <cellStyle name="Normal 15 7" xfId="394"/>
    <cellStyle name="Normal 15 8" xfId="410"/>
    <cellStyle name="Normal 15 9" xfId="86"/>
    <cellStyle name="Normal 16" xfId="205"/>
    <cellStyle name="Normal 16 2" xfId="481"/>
    <cellStyle name="Normal 16_F2.1" xfId="475"/>
    <cellStyle name="Normal 17" xfId="206"/>
    <cellStyle name="Normal 18" xfId="60"/>
    <cellStyle name="Normal 18 10" xfId="445"/>
    <cellStyle name="Normal 18 2" xfId="207"/>
    <cellStyle name="Normal 18 2 2" xfId="209"/>
    <cellStyle name="Normal 18 2 3" xfId="252"/>
    <cellStyle name="Normal 18 2 4" xfId="265"/>
    <cellStyle name="Normal 18 3" xfId="329"/>
    <cellStyle name="Normal 18 4" xfId="278"/>
    <cellStyle name="Normal 18 5" xfId="333"/>
    <cellStyle name="Normal 18 6" xfId="274"/>
    <cellStyle name="Normal 18 7" xfId="337"/>
    <cellStyle name="Normal 18 8" xfId="272"/>
    <cellStyle name="Normal 18 9" xfId="87"/>
    <cellStyle name="Normal 19" xfId="210"/>
    <cellStyle name="Normal 2" xfId="10"/>
    <cellStyle name="Normal 2 2" xfId="11"/>
    <cellStyle name="Normal 2 2 2" xfId="30"/>
    <cellStyle name="Normal 2 2 2 2" xfId="56"/>
    <cellStyle name="Normal 2 2 3" xfId="487"/>
    <cellStyle name="Normal 2 2_F2.1" xfId="464"/>
    <cellStyle name="Normal 2 3" xfId="12"/>
    <cellStyle name="Normal 2 3 2" xfId="213"/>
    <cellStyle name="Normal 2 3 3" xfId="335"/>
    <cellStyle name="Normal 2 3 4" xfId="273"/>
    <cellStyle name="Normal 2 3 5" xfId="338"/>
    <cellStyle name="Normal 2 3 6" xfId="271"/>
    <cellStyle name="Normal 2 3 7" xfId="339"/>
    <cellStyle name="Normal 2 3 8" xfId="270"/>
    <cellStyle name="Normal 2 4" xfId="51"/>
    <cellStyle name="Normal 2_ARR FINAL" xfId="31"/>
    <cellStyle name="Normal 20" xfId="214"/>
    <cellStyle name="Normal 21" xfId="215"/>
    <cellStyle name="Normal 22" xfId="216"/>
    <cellStyle name="Normal 23" xfId="217"/>
    <cellStyle name="Normal 24" xfId="218"/>
    <cellStyle name="Normal 24 2" xfId="482"/>
    <cellStyle name="Normal 24_F2.1" xfId="476"/>
    <cellStyle name="Normal 25" xfId="219"/>
    <cellStyle name="Normal 25 2" xfId="484"/>
    <cellStyle name="Normal 25_F2.1" xfId="477"/>
    <cellStyle name="Normal 26" xfId="220"/>
    <cellStyle name="Normal 26 2" xfId="483"/>
    <cellStyle name="Normal 26_F2.1" xfId="478"/>
    <cellStyle name="Normal 27" xfId="221"/>
    <cellStyle name="Normal 28" xfId="222"/>
    <cellStyle name="Normal 29" xfId="223"/>
    <cellStyle name="Normal 3" xfId="13"/>
    <cellStyle name="Normal 3 10" xfId="269"/>
    <cellStyle name="Normal 3 11" xfId="342"/>
    <cellStyle name="Normal 3 12" xfId="134"/>
    <cellStyle name="Normal 3 13" xfId="360"/>
    <cellStyle name="Normal 3 14" xfId="378"/>
    <cellStyle name="Normal 3 2" xfId="32"/>
    <cellStyle name="Normal 3 2 2" xfId="57"/>
    <cellStyle name="Normal 3 2 3" xfId="225"/>
    <cellStyle name="Normal 3 2 4" xfId="341"/>
    <cellStyle name="Normal 3 2 5" xfId="268"/>
    <cellStyle name="Normal 3 2 6" xfId="343"/>
    <cellStyle name="Normal 3 2 7" xfId="142"/>
    <cellStyle name="Normal 3 2 8" xfId="362"/>
    <cellStyle name="Normal 3 2 9" xfId="380"/>
    <cellStyle name="Normal 3 3" xfId="224"/>
    <cellStyle name="Normal 3 4" xfId="226"/>
    <cellStyle name="Normal 3 5" xfId="227"/>
    <cellStyle name="Normal 3 6" xfId="228"/>
    <cellStyle name="Normal 3 7" xfId="229"/>
    <cellStyle name="Normal 3 8" xfId="230"/>
    <cellStyle name="Normal 3 9" xfId="340"/>
    <cellStyle name="Normal 30" xfId="231"/>
    <cellStyle name="Normal 31" xfId="246"/>
    <cellStyle name="Normal 32" xfId="253"/>
    <cellStyle name="Normal 33" xfId="255"/>
    <cellStyle name="Normal 34" xfId="257"/>
    <cellStyle name="Normal 35" xfId="259"/>
    <cellStyle name="Normal 36" xfId="267"/>
    <cellStyle name="Normal 37" xfId="434"/>
    <cellStyle name="Normal 38" xfId="450"/>
    <cellStyle name="Normal 39" xfId="22"/>
    <cellStyle name="Normal 4" xfId="33"/>
    <cellStyle name="Normal 4 10" xfId="166"/>
    <cellStyle name="Normal 4 11" xfId="368"/>
    <cellStyle name="Normal 4 12" xfId="386"/>
    <cellStyle name="Normal 4 13" xfId="402"/>
    <cellStyle name="Normal 4 14" xfId="417"/>
    <cellStyle name="Normal 4 2" xfId="58"/>
    <cellStyle name="Normal 4 2 2" xfId="233"/>
    <cellStyle name="Normal 4 2 3" xfId="345"/>
    <cellStyle name="Normal 4 2 4" xfId="194"/>
    <cellStyle name="Normal 4 2 5" xfId="346"/>
    <cellStyle name="Normal 4 2 6" xfId="211"/>
    <cellStyle name="Normal 4 2 7" xfId="349"/>
    <cellStyle name="Normal 4 2 8" xfId="212"/>
    <cellStyle name="Normal 4 3" xfId="232"/>
    <cellStyle name="Normal 4 4" xfId="234"/>
    <cellStyle name="Normal 4 5" xfId="235"/>
    <cellStyle name="Normal 4 6" xfId="236"/>
    <cellStyle name="Normal 4 7" xfId="237"/>
    <cellStyle name="Normal 4 8" xfId="238"/>
    <cellStyle name="Normal 4 9" xfId="344"/>
    <cellStyle name="Normal 40" xfId="452"/>
    <cellStyle name="Normal 41" xfId="454"/>
    <cellStyle name="Normal 42" xfId="456"/>
    <cellStyle name="Normal 43" xfId="479"/>
    <cellStyle name="Normal 5" xfId="34"/>
    <cellStyle name="Normal 5 10" xfId="88"/>
    <cellStyle name="Normal 5 11" xfId="446"/>
    <cellStyle name="Normal 5 2" xfId="35"/>
    <cellStyle name="Normal 5 3" xfId="239"/>
    <cellStyle name="Normal 5 4" xfId="350"/>
    <cellStyle name="Normal 5 5" xfId="369"/>
    <cellStyle name="Normal 5 6" xfId="387"/>
    <cellStyle name="Normal 5 7" xfId="403"/>
    <cellStyle name="Normal 5 8" xfId="418"/>
    <cellStyle name="Normal 5 9" xfId="429"/>
    <cellStyle name="Normal 6" xfId="36"/>
    <cellStyle name="Normal 6 2" xfId="240"/>
    <cellStyle name="Normal 6 3" xfId="351"/>
    <cellStyle name="Normal 6 4" xfId="370"/>
    <cellStyle name="Normal 6 5" xfId="388"/>
    <cellStyle name="Normal 6 6" xfId="404"/>
    <cellStyle name="Normal 6 7" xfId="419"/>
    <cellStyle name="Normal 6 8" xfId="430"/>
    <cellStyle name="Normal 7" xfId="37"/>
    <cellStyle name="Normal 7 10" xfId="447"/>
    <cellStyle name="Normal 7 2" xfId="241"/>
    <cellStyle name="Normal 7 2 2" xfId="243"/>
    <cellStyle name="Normal 7 3" xfId="352"/>
    <cellStyle name="Normal 7 4" xfId="371"/>
    <cellStyle name="Normal 7 5" xfId="389"/>
    <cellStyle name="Normal 7 6" xfId="405"/>
    <cellStyle name="Normal 7 7" xfId="420"/>
    <cellStyle name="Normal 7 8" xfId="431"/>
    <cellStyle name="Normal 7 9" xfId="89"/>
    <cellStyle name="Normal 8" xfId="52"/>
    <cellStyle name="Normal 8 2" xfId="244"/>
    <cellStyle name="Normal 8 3" xfId="354"/>
    <cellStyle name="Normal 8 4" xfId="372"/>
    <cellStyle name="Normal 8 5" xfId="390"/>
    <cellStyle name="Normal 8 6" xfId="406"/>
    <cellStyle name="Normal 8 7" xfId="422"/>
    <cellStyle name="Normal 8 8" xfId="432"/>
    <cellStyle name="Normal 9" xfId="53"/>
    <cellStyle name="Normal 9 2" xfId="245"/>
    <cellStyle name="Normal 9 3" xfId="355"/>
    <cellStyle name="Normal 9 4" xfId="373"/>
    <cellStyle name="Normal 9 5" xfId="391"/>
    <cellStyle name="Normal 9 6" xfId="407"/>
    <cellStyle name="Normal 9 7" xfId="423"/>
    <cellStyle name="Normal 9 8" xfId="433"/>
    <cellStyle name="Normal_F2.1" xfId="462"/>
    <cellStyle name="Normal_F2.2" xfId="465"/>
    <cellStyle name="Normal_F2.3" xfId="466"/>
    <cellStyle name="Normal_FORMATS 5 YEAR ALOKE 2" xfId="14"/>
    <cellStyle name="Percent [0]_#6 Temps &amp; Contractors" xfId="15"/>
    <cellStyle name="Percent [2]" xfId="16"/>
    <cellStyle name="Percent 2" xfId="38"/>
    <cellStyle name="Percent 2 2" xfId="39"/>
    <cellStyle name="Percent 2 3" xfId="59"/>
    <cellStyle name="Percent 3" xfId="40"/>
    <cellStyle name="Percent 3 2" xfId="41"/>
    <cellStyle name="Percent 4" xfId="23"/>
    <cellStyle name="Percent 41" xfId="20"/>
    <cellStyle name="Percent 41 2" xfId="90"/>
    <cellStyle name="Percent 41 3" xfId="448"/>
    <cellStyle name="Percent 5" xfId="42"/>
    <cellStyle name="Percent 5 2" xfId="43"/>
    <cellStyle name="Percent 5 3" xfId="44"/>
    <cellStyle name="Percent 6" xfId="45"/>
    <cellStyle name="Percent 6 2" xfId="46"/>
    <cellStyle name="Percent 7" xfId="65"/>
    <cellStyle name="Percent 7 2" xfId="91"/>
    <cellStyle name="Percent 7 3" xfId="449"/>
    <cellStyle name="Style 1" xfId="17"/>
    <cellStyle name="Style 2" xfId="54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showGridLines="0" zoomScale="80" zoomScaleNormal="80" zoomScaleSheetLayoutView="80" workbookViewId="0">
      <selection activeCell="G12" sqref="G12"/>
    </sheetView>
  </sheetViews>
  <sheetFormatPr defaultColWidth="9.28515625" defaultRowHeight="15" x14ac:dyDescent="0.2"/>
  <cols>
    <col min="1" max="1" width="3.7109375" style="6" customWidth="1"/>
    <col min="2" max="2" width="7.42578125" style="6" customWidth="1"/>
    <col min="3" max="3" width="12.5703125" style="6" customWidth="1"/>
    <col min="4" max="4" width="43.28515625" style="6" customWidth="1"/>
    <col min="5" max="5" width="11.42578125" style="6" customWidth="1"/>
    <col min="6" max="6" width="20.7109375" style="6" customWidth="1"/>
    <col min="7" max="8" width="18.7109375" style="6" customWidth="1"/>
    <col min="9" max="16384" width="9.28515625" style="6"/>
  </cols>
  <sheetData>
    <row r="1" spans="2:8" ht="15.75" x14ac:dyDescent="0.2">
      <c r="B1" s="212" t="s">
        <v>297</v>
      </c>
      <c r="C1" s="212"/>
      <c r="D1" s="213"/>
      <c r="E1" s="213"/>
      <c r="F1" s="1"/>
      <c r="G1" s="1"/>
      <c r="H1" s="1"/>
    </row>
    <row r="2" spans="2:8" ht="15.75" x14ac:dyDescent="0.2">
      <c r="B2" s="212" t="s">
        <v>350</v>
      </c>
      <c r="C2" s="212"/>
      <c r="D2" s="213"/>
      <c r="E2" s="213"/>
      <c r="F2" s="1"/>
      <c r="G2" s="1"/>
      <c r="H2" s="1"/>
    </row>
    <row r="3" spans="2:8" s="10" customFormat="1" ht="15.75" x14ac:dyDescent="0.2">
      <c r="B3" s="214" t="s">
        <v>272</v>
      </c>
      <c r="C3" s="214"/>
      <c r="D3" s="215"/>
      <c r="E3" s="215"/>
      <c r="F3" s="1"/>
      <c r="G3" s="1"/>
      <c r="H3" s="1"/>
    </row>
    <row r="4" spans="2:8" ht="15.75" x14ac:dyDescent="0.2">
      <c r="D4" s="64" t="s">
        <v>274</v>
      </c>
    </row>
    <row r="5" spans="2:8" ht="15.75" x14ac:dyDescent="0.2">
      <c r="B5" s="11" t="s">
        <v>164</v>
      </c>
      <c r="C5" s="11" t="s">
        <v>273</v>
      </c>
      <c r="D5" s="12" t="s">
        <v>7</v>
      </c>
      <c r="E5" s="12" t="s">
        <v>275</v>
      </c>
    </row>
    <row r="6" spans="2:8" x14ac:dyDescent="0.2">
      <c r="B6" s="7">
        <v>1</v>
      </c>
      <c r="C6" s="7" t="s">
        <v>6</v>
      </c>
      <c r="D6" s="149" t="s">
        <v>277</v>
      </c>
      <c r="E6" s="8"/>
    </row>
    <row r="7" spans="2:8" x14ac:dyDescent="0.2">
      <c r="B7" s="7">
        <f>B6+1</f>
        <v>2</v>
      </c>
      <c r="C7" s="7" t="s">
        <v>232</v>
      </c>
      <c r="D7" s="149" t="s">
        <v>279</v>
      </c>
      <c r="E7" s="8"/>
    </row>
    <row r="8" spans="2:8" x14ac:dyDescent="0.2">
      <c r="B8" s="7">
        <f>B7+1</f>
        <v>3</v>
      </c>
      <c r="C8" s="7" t="s">
        <v>20</v>
      </c>
      <c r="D8" s="149" t="s">
        <v>280</v>
      </c>
      <c r="E8" s="8"/>
    </row>
    <row r="9" spans="2:8" x14ac:dyDescent="0.2">
      <c r="B9" s="7">
        <f>B8+1</f>
        <v>4</v>
      </c>
      <c r="C9" s="7" t="s">
        <v>21</v>
      </c>
      <c r="D9" s="149" t="s">
        <v>281</v>
      </c>
      <c r="E9" s="8"/>
    </row>
    <row r="10" spans="2:8" x14ac:dyDescent="0.2">
      <c r="B10" s="7">
        <f>B9+1</f>
        <v>5</v>
      </c>
      <c r="C10" s="7" t="s">
        <v>233</v>
      </c>
      <c r="D10" s="149" t="s">
        <v>282</v>
      </c>
      <c r="E10" s="8"/>
    </row>
    <row r="11" spans="2:8" ht="30" x14ac:dyDescent="0.2">
      <c r="B11" s="7">
        <f t="shared" ref="B11:B26" si="0">B10+1</f>
        <v>6</v>
      </c>
      <c r="C11" s="7" t="s">
        <v>18</v>
      </c>
      <c r="D11" s="149" t="s">
        <v>187</v>
      </c>
      <c r="E11" s="8"/>
    </row>
    <row r="12" spans="2:8" ht="30" x14ac:dyDescent="0.2">
      <c r="B12" s="7">
        <f t="shared" si="0"/>
        <v>7</v>
      </c>
      <c r="C12" s="7" t="s">
        <v>23</v>
      </c>
      <c r="D12" s="149" t="s">
        <v>283</v>
      </c>
      <c r="E12" s="8"/>
    </row>
    <row r="13" spans="2:8" x14ac:dyDescent="0.2">
      <c r="B13" s="7">
        <f t="shared" si="0"/>
        <v>8</v>
      </c>
      <c r="C13" s="7" t="s">
        <v>24</v>
      </c>
      <c r="D13" s="9" t="s">
        <v>161</v>
      </c>
      <c r="E13" s="8"/>
    </row>
    <row r="14" spans="2:8" x14ac:dyDescent="0.2">
      <c r="B14" s="7">
        <f t="shared" si="0"/>
        <v>9</v>
      </c>
      <c r="C14" s="7" t="s">
        <v>19</v>
      </c>
      <c r="D14" s="9" t="s">
        <v>284</v>
      </c>
      <c r="E14" s="8"/>
    </row>
    <row r="15" spans="2:8" x14ac:dyDescent="0.2">
      <c r="B15" s="7">
        <f t="shared" si="0"/>
        <v>10</v>
      </c>
      <c r="C15" s="7" t="s">
        <v>25</v>
      </c>
      <c r="D15" s="149" t="s">
        <v>199</v>
      </c>
      <c r="E15" s="8"/>
    </row>
    <row r="16" spans="2:8" x14ac:dyDescent="0.2">
      <c r="B16" s="7">
        <f t="shared" si="0"/>
        <v>11</v>
      </c>
      <c r="C16" s="7" t="s">
        <v>26</v>
      </c>
      <c r="D16" s="9" t="s">
        <v>253</v>
      </c>
      <c r="E16" s="8"/>
    </row>
    <row r="17" spans="2:5" x14ac:dyDescent="0.2">
      <c r="B17" s="7">
        <f t="shared" si="0"/>
        <v>12</v>
      </c>
      <c r="C17" s="7" t="s">
        <v>27</v>
      </c>
      <c r="D17" s="9" t="s">
        <v>200</v>
      </c>
      <c r="E17" s="8"/>
    </row>
    <row r="18" spans="2:5" x14ac:dyDescent="0.2">
      <c r="B18" s="7">
        <f t="shared" si="0"/>
        <v>13</v>
      </c>
      <c r="C18" s="7" t="s">
        <v>28</v>
      </c>
      <c r="D18" s="9" t="s">
        <v>140</v>
      </c>
      <c r="E18" s="8"/>
    </row>
    <row r="19" spans="2:5" x14ac:dyDescent="0.2">
      <c r="B19" s="7">
        <f t="shared" si="0"/>
        <v>14</v>
      </c>
      <c r="C19" s="7" t="s">
        <v>29</v>
      </c>
      <c r="D19" s="9" t="s">
        <v>22</v>
      </c>
      <c r="E19" s="8"/>
    </row>
    <row r="20" spans="2:5" x14ac:dyDescent="0.2">
      <c r="B20" s="7">
        <f t="shared" si="0"/>
        <v>15</v>
      </c>
      <c r="C20" s="7" t="s">
        <v>30</v>
      </c>
      <c r="D20" s="149" t="s">
        <v>285</v>
      </c>
      <c r="E20" s="8"/>
    </row>
    <row r="21" spans="2:5" ht="30" x14ac:dyDescent="0.2">
      <c r="B21" s="7">
        <f t="shared" si="0"/>
        <v>16</v>
      </c>
      <c r="C21" s="7" t="s">
        <v>31</v>
      </c>
      <c r="D21" s="149" t="s">
        <v>286</v>
      </c>
      <c r="E21" s="8"/>
    </row>
    <row r="22" spans="2:5" x14ac:dyDescent="0.2">
      <c r="B22" s="7">
        <f t="shared" si="0"/>
        <v>17</v>
      </c>
      <c r="C22" s="7" t="s">
        <v>141</v>
      </c>
      <c r="D22" s="149" t="s">
        <v>203</v>
      </c>
      <c r="E22" s="8"/>
    </row>
    <row r="23" spans="2:5" x14ac:dyDescent="0.2">
      <c r="B23" s="7">
        <f t="shared" si="0"/>
        <v>18</v>
      </c>
      <c r="C23" s="7" t="s">
        <v>145</v>
      </c>
      <c r="D23" s="149" t="s">
        <v>287</v>
      </c>
      <c r="E23" s="8"/>
    </row>
    <row r="24" spans="2:5" x14ac:dyDescent="0.2">
      <c r="B24" s="7">
        <f t="shared" si="0"/>
        <v>19</v>
      </c>
      <c r="C24" s="7" t="s">
        <v>276</v>
      </c>
      <c r="D24" s="149" t="s">
        <v>194</v>
      </c>
      <c r="E24" s="8"/>
    </row>
    <row r="25" spans="2:5" x14ac:dyDescent="0.2">
      <c r="B25" s="7">
        <f t="shared" si="0"/>
        <v>20</v>
      </c>
      <c r="C25" s="7" t="s">
        <v>188</v>
      </c>
      <c r="D25" s="149" t="s">
        <v>288</v>
      </c>
      <c r="E25" s="8"/>
    </row>
    <row r="26" spans="2:5" x14ac:dyDescent="0.2">
      <c r="B26" s="7">
        <f t="shared" si="0"/>
        <v>21</v>
      </c>
      <c r="C26" s="7" t="s">
        <v>189</v>
      </c>
      <c r="D26" s="9" t="s">
        <v>289</v>
      </c>
      <c r="E26" s="8"/>
    </row>
  </sheetData>
  <mergeCells count="3">
    <mergeCell ref="B1:E1"/>
    <mergeCell ref="B3:E3"/>
    <mergeCell ref="B2:E2"/>
  </mergeCells>
  <phoneticPr fontId="14" type="noConversion"/>
  <pageMargins left="1.3" right="0.23622047244094499" top="1.1023622047244099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9"/>
  <sheetViews>
    <sheetView view="pageBreakPreview" topLeftCell="A13" zoomScale="90" zoomScaleNormal="93" zoomScaleSheetLayoutView="90" workbookViewId="0">
      <selection activeCell="O21" sqref="O21"/>
    </sheetView>
  </sheetViews>
  <sheetFormatPr defaultColWidth="9.28515625" defaultRowHeight="14.25" x14ac:dyDescent="0.2"/>
  <cols>
    <col min="1" max="1" width="4.28515625" style="5" customWidth="1"/>
    <col min="2" max="2" width="5.140625" style="5" customWidth="1"/>
    <col min="3" max="3" width="23.140625" style="5" customWidth="1"/>
    <col min="4" max="4" width="8.140625" style="5" customWidth="1"/>
    <col min="5" max="5" width="11.28515625" style="5" customWidth="1"/>
    <col min="6" max="6" width="12.42578125" style="5" customWidth="1"/>
    <col min="7" max="7" width="9.5703125" style="5" customWidth="1"/>
    <col min="8" max="8" width="8.42578125" style="5" customWidth="1"/>
    <col min="9" max="9" width="12.140625" style="5" customWidth="1"/>
    <col min="10" max="10" width="14.140625" style="5" customWidth="1"/>
    <col min="11" max="11" width="9.5703125" style="5" customWidth="1"/>
    <col min="12" max="12" width="9.42578125" style="5" customWidth="1"/>
    <col min="13" max="13" width="12.85546875" style="5" customWidth="1"/>
    <col min="14" max="14" width="12.5703125" style="5" customWidth="1"/>
    <col min="15" max="15" width="12.4257812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6" ht="6" customHeight="1" x14ac:dyDescent="0.2">
      <c r="B1" s="24"/>
    </row>
    <row r="2" spans="2:16" ht="15" x14ac:dyDescent="0.2">
      <c r="H2" s="32" t="s">
        <v>298</v>
      </c>
      <c r="I2" s="33"/>
    </row>
    <row r="3" spans="2:16" ht="15" x14ac:dyDescent="0.2">
      <c r="H3" s="32" t="str">
        <f>'F1'!$F$3</f>
        <v>SLBHES</v>
      </c>
      <c r="I3" s="33"/>
    </row>
    <row r="4" spans="2:16" ht="15" x14ac:dyDescent="0.2">
      <c r="H4" s="35" t="s">
        <v>238</v>
      </c>
      <c r="I4" s="35"/>
    </row>
    <row r="5" spans="2:16" ht="10.5" customHeight="1" x14ac:dyDescent="0.2">
      <c r="K5" s="35"/>
      <c r="O5" s="32" t="s">
        <v>4</v>
      </c>
    </row>
    <row r="6" spans="2:16" ht="7.5" customHeight="1" x14ac:dyDescent="0.2"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</row>
    <row r="7" spans="2:16" ht="15" x14ac:dyDescent="0.2">
      <c r="B7" s="244" t="s">
        <v>299</v>
      </c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</row>
    <row r="8" spans="2:16" ht="14.25" customHeight="1" x14ac:dyDescent="0.2">
      <c r="B8" s="240" t="s">
        <v>2</v>
      </c>
      <c r="C8" s="241" t="s">
        <v>231</v>
      </c>
      <c r="D8" s="240" t="s">
        <v>220</v>
      </c>
      <c r="E8" s="240" t="s">
        <v>221</v>
      </c>
      <c r="F8" s="240" t="s">
        <v>222</v>
      </c>
      <c r="G8" s="240"/>
      <c r="H8" s="240"/>
      <c r="I8" s="240"/>
      <c r="J8" s="240" t="s">
        <v>223</v>
      </c>
      <c r="K8" s="240"/>
      <c r="L8" s="240"/>
      <c r="M8" s="240"/>
      <c r="N8" s="240" t="s">
        <v>224</v>
      </c>
      <c r="O8" s="240"/>
    </row>
    <row r="9" spans="2:16" ht="60" x14ac:dyDescent="0.2">
      <c r="B9" s="240"/>
      <c r="C9" s="241"/>
      <c r="D9" s="240"/>
      <c r="E9" s="240"/>
      <c r="F9" s="192" t="s">
        <v>225</v>
      </c>
      <c r="G9" s="192" t="s">
        <v>122</v>
      </c>
      <c r="H9" s="192" t="s">
        <v>226</v>
      </c>
      <c r="I9" s="192" t="s">
        <v>227</v>
      </c>
      <c r="J9" s="192" t="s">
        <v>228</v>
      </c>
      <c r="K9" s="192" t="s">
        <v>122</v>
      </c>
      <c r="L9" s="192" t="s">
        <v>229</v>
      </c>
      <c r="M9" s="192" t="s">
        <v>230</v>
      </c>
      <c r="N9" s="192" t="s">
        <v>225</v>
      </c>
      <c r="O9" s="192" t="s">
        <v>227</v>
      </c>
    </row>
    <row r="10" spans="2:16" x14ac:dyDescent="0.2">
      <c r="B10" s="178">
        <v>1</v>
      </c>
      <c r="C10" s="179" t="s">
        <v>334</v>
      </c>
      <c r="D10" s="179">
        <v>1000</v>
      </c>
      <c r="E10" s="180"/>
      <c r="F10" s="181">
        <v>0.30328280000000002</v>
      </c>
      <c r="G10" s="181">
        <v>0</v>
      </c>
      <c r="H10" s="201">
        <v>0</v>
      </c>
      <c r="I10" s="182">
        <f>F10+G10+H10</f>
        <v>0.30328280000000002</v>
      </c>
      <c r="J10" s="183">
        <v>0</v>
      </c>
      <c r="K10" s="183">
        <v>0</v>
      </c>
      <c r="L10" s="181">
        <v>0</v>
      </c>
      <c r="M10" s="182">
        <f>J10+K10+L10</f>
        <v>0</v>
      </c>
      <c r="N10" s="181">
        <f>+F10-J10</f>
        <v>0.30328280000000002</v>
      </c>
      <c r="O10" s="181">
        <f>+I10-M10</f>
        <v>0.30328280000000002</v>
      </c>
    </row>
    <row r="11" spans="2:16" x14ac:dyDescent="0.2">
      <c r="B11" s="178">
        <v>2</v>
      </c>
      <c r="C11" s="179" t="s">
        <v>335</v>
      </c>
      <c r="D11" s="179">
        <v>1100</v>
      </c>
      <c r="E11" s="180"/>
      <c r="F11" s="181">
        <v>434.68127679999998</v>
      </c>
      <c r="G11" s="181">
        <v>0</v>
      </c>
      <c r="H11" s="201">
        <v>0</v>
      </c>
      <c r="I11" s="182">
        <f t="shared" ref="I11:I20" si="0">F11+G11+H11</f>
        <v>434.68127679999998</v>
      </c>
      <c r="J11" s="183">
        <v>287.728618708</v>
      </c>
      <c r="K11" s="183">
        <v>15.081041213999999</v>
      </c>
      <c r="L11" s="181">
        <v>0</v>
      </c>
      <c r="M11" s="182">
        <f t="shared" ref="M11:M20" si="1">J11+K11+L11</f>
        <v>302.80965992199998</v>
      </c>
      <c r="N11" s="181">
        <f t="shared" ref="N11:N20" si="2">+F11-J11</f>
        <v>146.95265809199998</v>
      </c>
      <c r="O11" s="181">
        <f t="shared" ref="O11:O20" si="3">+I11-M11</f>
        <v>131.871616878</v>
      </c>
    </row>
    <row r="12" spans="2:16" x14ac:dyDescent="0.2">
      <c r="B12" s="178">
        <v>3</v>
      </c>
      <c r="C12" s="179" t="s">
        <v>336</v>
      </c>
      <c r="D12" s="179">
        <v>1200</v>
      </c>
      <c r="E12" s="184"/>
      <c r="F12" s="181">
        <v>240.64748510000001</v>
      </c>
      <c r="G12" s="181">
        <v>0</v>
      </c>
      <c r="H12" s="201">
        <v>0</v>
      </c>
      <c r="I12" s="182">
        <f t="shared" si="0"/>
        <v>240.64748510000001</v>
      </c>
      <c r="J12" s="183">
        <v>205.160843645</v>
      </c>
      <c r="K12" s="183">
        <v>0.61828580199999994</v>
      </c>
      <c r="L12" s="181">
        <v>0</v>
      </c>
      <c r="M12" s="182">
        <f t="shared" si="1"/>
        <v>205.779129447</v>
      </c>
      <c r="N12" s="181">
        <f t="shared" si="2"/>
        <v>35.486641455000012</v>
      </c>
      <c r="O12" s="181">
        <f t="shared" si="3"/>
        <v>34.868355653000009</v>
      </c>
    </row>
    <row r="13" spans="2:16" x14ac:dyDescent="0.2">
      <c r="B13" s="178">
        <v>4</v>
      </c>
      <c r="C13" s="179" t="s">
        <v>337</v>
      </c>
      <c r="D13" s="179">
        <v>1300</v>
      </c>
      <c r="E13" s="184"/>
      <c r="F13" s="181">
        <v>2249.5907486710007</v>
      </c>
      <c r="G13" s="181">
        <v>15.780009491999998</v>
      </c>
      <c r="H13" s="201">
        <v>-2.398794278</v>
      </c>
      <c r="I13" s="182">
        <f>F13+G13-0.24</f>
        <v>2265.1307581630008</v>
      </c>
      <c r="J13" s="183">
        <v>1143.3639409290006</v>
      </c>
      <c r="K13" s="183">
        <v>32.629652803999996</v>
      </c>
      <c r="L13" s="181"/>
      <c r="M13" s="182">
        <f t="shared" si="1"/>
        <v>1175.9935937330006</v>
      </c>
      <c r="N13" s="181">
        <f t="shared" si="2"/>
        <v>1106.2268077420001</v>
      </c>
      <c r="O13" s="181">
        <f t="shared" si="3"/>
        <v>1089.1371644300002</v>
      </c>
    </row>
    <row r="14" spans="2:16" x14ac:dyDescent="0.2">
      <c r="B14" s="178">
        <v>5</v>
      </c>
      <c r="C14" s="179" t="s">
        <v>338</v>
      </c>
      <c r="D14" s="179">
        <v>1400</v>
      </c>
      <c r="E14" s="184"/>
      <c r="F14" s="181">
        <v>9.0895344609999995</v>
      </c>
      <c r="G14" s="181">
        <v>0</v>
      </c>
      <c r="H14" s="201">
        <v>0</v>
      </c>
      <c r="I14" s="182">
        <f>F14+G14+H14</f>
        <v>9.0895344609999995</v>
      </c>
      <c r="J14" s="183">
        <v>2.486333916</v>
      </c>
      <c r="K14" s="183">
        <v>0.34007899600000002</v>
      </c>
      <c r="L14" s="181">
        <v>0</v>
      </c>
      <c r="M14" s="182">
        <f t="shared" si="1"/>
        <v>2.8264129119999999</v>
      </c>
      <c r="N14" s="181">
        <f t="shared" si="2"/>
        <v>6.603200545</v>
      </c>
      <c r="O14" s="181">
        <f t="shared" si="3"/>
        <v>6.2631215489999992</v>
      </c>
      <c r="P14" s="150"/>
    </row>
    <row r="15" spans="2:16" x14ac:dyDescent="0.2">
      <c r="B15" s="178">
        <v>6</v>
      </c>
      <c r="C15" s="179" t="s">
        <v>339</v>
      </c>
      <c r="D15" s="179">
        <v>1500</v>
      </c>
      <c r="E15" s="184"/>
      <c r="F15" s="181">
        <v>431.22829000000002</v>
      </c>
      <c r="G15" s="181">
        <v>0</v>
      </c>
      <c r="H15" s="201">
        <v>0</v>
      </c>
      <c r="I15" s="182">
        <f t="shared" si="0"/>
        <v>431.22829000000002</v>
      </c>
      <c r="J15" s="183">
        <v>287.24899130400001</v>
      </c>
      <c r="K15" s="183">
        <v>5.9910944439999998</v>
      </c>
      <c r="L15" s="181">
        <v>0</v>
      </c>
      <c r="M15" s="182">
        <f t="shared" si="1"/>
        <v>293.24008574800001</v>
      </c>
      <c r="N15" s="181">
        <f t="shared" si="2"/>
        <v>143.979298696</v>
      </c>
      <c r="O15" s="181">
        <f t="shared" si="3"/>
        <v>137.988204252</v>
      </c>
    </row>
    <row r="16" spans="2:16" x14ac:dyDescent="0.2">
      <c r="B16" s="178">
        <v>7</v>
      </c>
      <c r="C16" s="179" t="s">
        <v>340</v>
      </c>
      <c r="D16" s="179">
        <v>1600</v>
      </c>
      <c r="E16" s="184"/>
      <c r="F16" s="181">
        <v>14.619518599999999</v>
      </c>
      <c r="G16" s="181">
        <v>0</v>
      </c>
      <c r="H16" s="201">
        <v>0</v>
      </c>
      <c r="I16" s="182">
        <f t="shared" si="0"/>
        <v>14.619518599999999</v>
      </c>
      <c r="J16" s="183">
        <v>8.6195220989999992</v>
      </c>
      <c r="K16" s="183">
        <v>3.4231301270000003</v>
      </c>
      <c r="L16" s="181">
        <v>0</v>
      </c>
      <c r="M16" s="182">
        <f t="shared" si="1"/>
        <v>12.042652226</v>
      </c>
      <c r="N16" s="181">
        <f t="shared" si="2"/>
        <v>5.999996501</v>
      </c>
      <c r="O16" s="181">
        <f t="shared" si="3"/>
        <v>2.5768663739999997</v>
      </c>
    </row>
    <row r="17" spans="2:17" x14ac:dyDescent="0.2">
      <c r="B17" s="178">
        <v>8</v>
      </c>
      <c r="C17" s="179" t="s">
        <v>341</v>
      </c>
      <c r="D17" s="179">
        <v>1700</v>
      </c>
      <c r="E17" s="184"/>
      <c r="F17" s="181">
        <v>0.55870070000000005</v>
      </c>
      <c r="G17" s="181">
        <v>0.67705871399999995</v>
      </c>
      <c r="H17" s="201"/>
      <c r="I17" s="182">
        <f t="shared" si="0"/>
        <v>1.2357594139999999</v>
      </c>
      <c r="J17" s="183">
        <v>0.50283062999999995</v>
      </c>
      <c r="K17" s="183">
        <v>9.8221177000000007E-2</v>
      </c>
      <c r="L17" s="181"/>
      <c r="M17" s="182">
        <f t="shared" si="1"/>
        <v>0.60105180699999994</v>
      </c>
      <c r="N17" s="181">
        <f t="shared" si="2"/>
        <v>5.5870070000000105E-2</v>
      </c>
      <c r="O17" s="181">
        <f t="shared" si="3"/>
        <v>0.63470760699999995</v>
      </c>
    </row>
    <row r="18" spans="2:17" x14ac:dyDescent="0.2">
      <c r="B18" s="178">
        <v>9</v>
      </c>
      <c r="C18" s="179" t="s">
        <v>342</v>
      </c>
      <c r="D18" s="179">
        <v>1800</v>
      </c>
      <c r="E18" s="184"/>
      <c r="F18" s="181">
        <v>0.80787568399999998</v>
      </c>
      <c r="G18" s="181">
        <v>0</v>
      </c>
      <c r="H18" s="201">
        <v>0</v>
      </c>
      <c r="I18" s="182">
        <f t="shared" si="0"/>
        <v>0.80787568399999998</v>
      </c>
      <c r="J18" s="183">
        <v>0.40095033299999999</v>
      </c>
      <c r="K18" s="183">
        <v>6.3191304000000004E-2</v>
      </c>
      <c r="L18" s="181">
        <v>0</v>
      </c>
      <c r="M18" s="182">
        <f t="shared" si="1"/>
        <v>0.464141637</v>
      </c>
      <c r="N18" s="181">
        <f t="shared" si="2"/>
        <v>0.40692535099999999</v>
      </c>
      <c r="O18" s="181">
        <f t="shared" si="3"/>
        <v>0.34373404699999999</v>
      </c>
    </row>
    <row r="19" spans="2:17" x14ac:dyDescent="0.2">
      <c r="B19" s="178">
        <v>10</v>
      </c>
      <c r="C19" s="179" t="s">
        <v>303</v>
      </c>
      <c r="D19" s="179">
        <v>1900</v>
      </c>
      <c r="E19" s="184"/>
      <c r="F19" s="181">
        <v>1.0751104250000001</v>
      </c>
      <c r="G19" s="181">
        <v>0</v>
      </c>
      <c r="H19" s="201">
        <v>0</v>
      </c>
      <c r="I19" s="182">
        <f t="shared" si="0"/>
        <v>1.0751104250000001</v>
      </c>
      <c r="J19" s="183">
        <v>0.795244226</v>
      </c>
      <c r="K19" s="183">
        <v>0.13753069500000001</v>
      </c>
      <c r="L19" s="181">
        <v>0</v>
      </c>
      <c r="M19" s="182">
        <f t="shared" si="1"/>
        <v>0.93277492100000003</v>
      </c>
      <c r="N19" s="181">
        <f t="shared" si="2"/>
        <v>0.27986619900000009</v>
      </c>
      <c r="O19" s="181">
        <f t="shared" si="3"/>
        <v>0.14233550400000006</v>
      </c>
    </row>
    <row r="20" spans="2:17" x14ac:dyDescent="0.2">
      <c r="B20" s="178">
        <v>11</v>
      </c>
      <c r="C20" s="179" t="s">
        <v>343</v>
      </c>
      <c r="D20" s="179">
        <v>2100</v>
      </c>
      <c r="E20" s="184"/>
      <c r="F20" s="181">
        <v>1.608176759</v>
      </c>
      <c r="G20" s="181">
        <v>3.09284E-4</v>
      </c>
      <c r="H20" s="201">
        <v>0</v>
      </c>
      <c r="I20" s="182">
        <f t="shared" si="0"/>
        <v>1.6084860430000001</v>
      </c>
      <c r="J20" s="183">
        <v>1.02272421</v>
      </c>
      <c r="K20" s="183">
        <v>0.33777343700000001</v>
      </c>
      <c r="L20" s="181">
        <v>0</v>
      </c>
      <c r="M20" s="182">
        <f t="shared" si="1"/>
        <v>1.3604976470000001</v>
      </c>
      <c r="N20" s="181">
        <f t="shared" si="2"/>
        <v>0.58545254899999999</v>
      </c>
      <c r="O20" s="181">
        <f t="shared" si="3"/>
        <v>0.247988396</v>
      </c>
    </row>
    <row r="21" spans="2:17" s="48" customFormat="1" ht="15" x14ac:dyDescent="0.2">
      <c r="B21" s="194"/>
      <c r="C21" s="195" t="s">
        <v>123</v>
      </c>
      <c r="D21" s="195"/>
      <c r="E21" s="196">
        <f>IFERROR((K21-L21)/AVERAGE(F21,I21),0)</f>
        <v>1.730968776530516E-2</v>
      </c>
      <c r="F21" s="193">
        <f>ROUND(SUM(F10:F20),2)</f>
        <v>3384.21</v>
      </c>
      <c r="G21" s="193">
        <f>ROUND(G13+G17+H13+2.16,2)</f>
        <v>16.22</v>
      </c>
      <c r="H21" s="193"/>
      <c r="I21" s="193">
        <f>ROUND(SUM(I10:I20),2)</f>
        <v>3400.43</v>
      </c>
      <c r="J21" s="193">
        <f t="shared" ref="J21:O21" si="4">ROUND(SUM(J10:J20),2)</f>
        <v>1937.33</v>
      </c>
      <c r="K21" s="193">
        <f t="shared" si="4"/>
        <v>58.72</v>
      </c>
      <c r="L21" s="193">
        <f t="shared" si="4"/>
        <v>0</v>
      </c>
      <c r="M21" s="193">
        <f t="shared" si="4"/>
        <v>1996.05</v>
      </c>
      <c r="N21" s="193">
        <f t="shared" si="4"/>
        <v>1446.88</v>
      </c>
      <c r="O21" s="193">
        <f t="shared" si="4"/>
        <v>1404.38</v>
      </c>
      <c r="P21" s="163"/>
      <c r="Q21" s="163"/>
    </row>
    <row r="22" spans="2:17" x14ac:dyDescent="0.2"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</row>
    <row r="23" spans="2:17" x14ac:dyDescent="0.2"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</row>
    <row r="24" spans="2:17" x14ac:dyDescent="0.2">
      <c r="E24" s="197" t="s">
        <v>208</v>
      </c>
      <c r="F24" s="197" t="s">
        <v>346</v>
      </c>
      <c r="G24" s="197"/>
      <c r="H24" s="197"/>
      <c r="I24" s="197"/>
      <c r="J24" s="197"/>
      <c r="K24" s="197"/>
      <c r="L24" s="148"/>
      <c r="M24" s="148"/>
      <c r="N24" s="148"/>
      <c r="O24" s="148"/>
      <c r="P24" s="148"/>
    </row>
    <row r="25" spans="2:17" x14ac:dyDescent="0.2">
      <c r="E25" s="197"/>
      <c r="F25" s="197" t="s">
        <v>347</v>
      </c>
      <c r="G25" s="197"/>
      <c r="H25" s="197"/>
      <c r="I25" s="197"/>
      <c r="J25" s="197"/>
      <c r="K25" s="197">
        <v>2.4</v>
      </c>
      <c r="L25" s="148"/>
      <c r="M25" s="148"/>
      <c r="N25" s="148"/>
      <c r="O25" s="148"/>
      <c r="P25" s="148"/>
    </row>
    <row r="26" spans="2:17" x14ac:dyDescent="0.2">
      <c r="E26" s="197" t="s">
        <v>251</v>
      </c>
      <c r="F26" s="197" t="s">
        <v>348</v>
      </c>
      <c r="G26" s="197"/>
      <c r="H26" s="197"/>
      <c r="I26" s="197"/>
      <c r="J26" s="197"/>
      <c r="K26" s="197">
        <v>2.16</v>
      </c>
      <c r="L26" s="148"/>
      <c r="M26" s="148"/>
      <c r="N26" s="148"/>
      <c r="O26" s="148"/>
      <c r="P26" s="148"/>
    </row>
    <row r="27" spans="2:17" ht="15" x14ac:dyDescent="0.2">
      <c r="E27" s="197"/>
      <c r="F27" s="208" t="s">
        <v>349</v>
      </c>
      <c r="G27" s="208"/>
      <c r="H27" s="208"/>
      <c r="I27" s="208"/>
      <c r="J27" s="208"/>
      <c r="K27" s="208">
        <v>0.24</v>
      </c>
      <c r="L27" s="148"/>
      <c r="M27" s="148"/>
      <c r="N27" s="148"/>
      <c r="O27" s="148"/>
      <c r="P27" s="148"/>
    </row>
    <row r="28" spans="2:17" x14ac:dyDescent="0.2"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</row>
    <row r="29" spans="2:17" ht="15" x14ac:dyDescent="0.2">
      <c r="B29" s="244" t="s">
        <v>300</v>
      </c>
      <c r="C29" s="244"/>
      <c r="D29" s="244"/>
      <c r="E29" s="244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2:17" ht="15" x14ac:dyDescent="0.2">
      <c r="B30" s="240" t="s">
        <v>2</v>
      </c>
      <c r="C30" s="241" t="s">
        <v>231</v>
      </c>
      <c r="D30" s="240" t="s">
        <v>220</v>
      </c>
      <c r="E30" s="240" t="s">
        <v>221</v>
      </c>
      <c r="F30" s="240" t="s">
        <v>222</v>
      </c>
      <c r="G30" s="240"/>
      <c r="H30" s="240"/>
      <c r="I30" s="240"/>
      <c r="J30" s="240" t="s">
        <v>223</v>
      </c>
      <c r="K30" s="240"/>
      <c r="L30" s="240"/>
      <c r="M30" s="240"/>
      <c r="N30" s="240" t="s">
        <v>224</v>
      </c>
      <c r="O30" s="240"/>
    </row>
    <row r="31" spans="2:17" ht="60" x14ac:dyDescent="0.2">
      <c r="B31" s="240"/>
      <c r="C31" s="241"/>
      <c r="D31" s="240"/>
      <c r="E31" s="240"/>
      <c r="F31" s="192" t="s">
        <v>225</v>
      </c>
      <c r="G31" s="192" t="s">
        <v>122</v>
      </c>
      <c r="H31" s="192" t="s">
        <v>226</v>
      </c>
      <c r="I31" s="192" t="s">
        <v>227</v>
      </c>
      <c r="J31" s="192" t="s">
        <v>228</v>
      </c>
      <c r="K31" s="192" t="s">
        <v>122</v>
      </c>
      <c r="L31" s="192" t="s">
        <v>229</v>
      </c>
      <c r="M31" s="192" t="s">
        <v>230</v>
      </c>
      <c r="N31" s="192" t="s">
        <v>225</v>
      </c>
      <c r="O31" s="192" t="s">
        <v>227</v>
      </c>
    </row>
    <row r="32" spans="2:17" x14ac:dyDescent="0.2">
      <c r="B32" s="178">
        <v>1</v>
      </c>
      <c r="C32" s="179" t="s">
        <v>334</v>
      </c>
      <c r="D32" s="179">
        <v>1000</v>
      </c>
      <c r="E32" s="180">
        <v>0</v>
      </c>
      <c r="F32" s="181">
        <f t="shared" ref="F32:F42" si="5">I10</f>
        <v>0.30328280000000002</v>
      </c>
      <c r="G32" s="181"/>
      <c r="H32" s="181"/>
      <c r="I32" s="182">
        <f>F32+G32+H32</f>
        <v>0.30328280000000002</v>
      </c>
      <c r="J32" s="181">
        <f t="shared" ref="J32:J42" si="6">M10</f>
        <v>0</v>
      </c>
      <c r="K32" s="183">
        <v>0</v>
      </c>
      <c r="L32" s="181"/>
      <c r="M32" s="182">
        <f>J32+K32+L32</f>
        <v>0</v>
      </c>
      <c r="N32" s="181">
        <f>+F32-J32</f>
        <v>0.30328280000000002</v>
      </c>
      <c r="O32" s="181">
        <f>+I32-M32</f>
        <v>0.30328280000000002</v>
      </c>
    </row>
    <row r="33" spans="2:16" x14ac:dyDescent="0.2">
      <c r="B33" s="178">
        <v>2</v>
      </c>
      <c r="C33" s="179" t="s">
        <v>335</v>
      </c>
      <c r="D33" s="179">
        <v>1100</v>
      </c>
      <c r="E33" s="180"/>
      <c r="F33" s="181">
        <f t="shared" si="5"/>
        <v>434.68127679999998</v>
      </c>
      <c r="G33" s="181"/>
      <c r="H33" s="181"/>
      <c r="I33" s="182">
        <f t="shared" ref="I33:I42" si="7">F33+G33+H33</f>
        <v>434.68127679999998</v>
      </c>
      <c r="J33" s="181">
        <f t="shared" si="6"/>
        <v>302.80965992199998</v>
      </c>
      <c r="K33" s="183">
        <v>15.081041213999999</v>
      </c>
      <c r="L33" s="181"/>
      <c r="M33" s="182">
        <f t="shared" ref="M33:M42" si="8">J33+K33+L33</f>
        <v>317.89070113599996</v>
      </c>
      <c r="N33" s="181">
        <f t="shared" ref="N33:N42" si="9">+F33-J33</f>
        <v>131.871616878</v>
      </c>
      <c r="O33" s="181">
        <f t="shared" ref="O33:O42" si="10">+I33-M33</f>
        <v>116.79057566400002</v>
      </c>
    </row>
    <row r="34" spans="2:16" x14ac:dyDescent="0.2">
      <c r="B34" s="178">
        <v>3</v>
      </c>
      <c r="C34" s="179" t="s">
        <v>336</v>
      </c>
      <c r="D34" s="179">
        <v>1200</v>
      </c>
      <c r="E34" s="184"/>
      <c r="F34" s="181">
        <f t="shared" si="5"/>
        <v>240.64748510000001</v>
      </c>
      <c r="G34" s="181"/>
      <c r="H34" s="181"/>
      <c r="I34" s="182">
        <f t="shared" si="7"/>
        <v>240.64748510000001</v>
      </c>
      <c r="J34" s="181">
        <f t="shared" si="6"/>
        <v>205.779129447</v>
      </c>
      <c r="K34" s="183">
        <v>0.61828580199999994</v>
      </c>
      <c r="L34" s="181"/>
      <c r="M34" s="182">
        <f t="shared" si="8"/>
        <v>206.39741524900001</v>
      </c>
      <c r="N34" s="181">
        <f t="shared" si="9"/>
        <v>34.868355653000009</v>
      </c>
      <c r="O34" s="181">
        <f t="shared" si="10"/>
        <v>34.250069851000006</v>
      </c>
    </row>
    <row r="35" spans="2:16" x14ac:dyDescent="0.2">
      <c r="B35" s="178">
        <v>4</v>
      </c>
      <c r="C35" s="179" t="s">
        <v>337</v>
      </c>
      <c r="D35" s="179">
        <v>1300</v>
      </c>
      <c r="E35" s="184"/>
      <c r="F35" s="181">
        <f t="shared" si="5"/>
        <v>2265.1307581630008</v>
      </c>
      <c r="G35" s="181"/>
      <c r="H35" s="181"/>
      <c r="I35" s="182">
        <f t="shared" si="7"/>
        <v>2265.1307581630008</v>
      </c>
      <c r="J35" s="181">
        <f t="shared" si="6"/>
        <v>1175.9935937330006</v>
      </c>
      <c r="K35" s="183">
        <v>33.039652803999999</v>
      </c>
      <c r="L35" s="181"/>
      <c r="M35" s="182">
        <f t="shared" si="8"/>
        <v>1209.0332465370007</v>
      </c>
      <c r="N35" s="181">
        <f t="shared" si="9"/>
        <v>1089.1371644300002</v>
      </c>
      <c r="O35" s="181">
        <f t="shared" si="10"/>
        <v>1056.0975116260001</v>
      </c>
    </row>
    <row r="36" spans="2:16" x14ac:dyDescent="0.2">
      <c r="B36" s="178">
        <v>5</v>
      </c>
      <c r="C36" s="179" t="s">
        <v>338</v>
      </c>
      <c r="D36" s="179">
        <v>1400</v>
      </c>
      <c r="E36" s="184"/>
      <c r="F36" s="181">
        <f t="shared" si="5"/>
        <v>9.0895344609999995</v>
      </c>
      <c r="G36" s="181"/>
      <c r="H36" s="181"/>
      <c r="I36" s="182">
        <f t="shared" si="7"/>
        <v>9.0895344609999995</v>
      </c>
      <c r="J36" s="181">
        <f t="shared" si="6"/>
        <v>2.8264129119999999</v>
      </c>
      <c r="K36" s="183">
        <v>0.34007899600000002</v>
      </c>
      <c r="L36" s="181"/>
      <c r="M36" s="182">
        <f t="shared" si="8"/>
        <v>3.1664919079999998</v>
      </c>
      <c r="N36" s="181">
        <f t="shared" si="9"/>
        <v>6.2631215489999992</v>
      </c>
      <c r="O36" s="181">
        <f t="shared" si="10"/>
        <v>5.9230425530000002</v>
      </c>
    </row>
    <row r="37" spans="2:16" x14ac:dyDescent="0.2">
      <c r="B37" s="178">
        <v>6</v>
      </c>
      <c r="C37" s="179" t="s">
        <v>339</v>
      </c>
      <c r="D37" s="179">
        <v>1500</v>
      </c>
      <c r="E37" s="184"/>
      <c r="F37" s="181">
        <f t="shared" si="5"/>
        <v>431.22829000000002</v>
      </c>
      <c r="G37" s="181"/>
      <c r="H37" s="181"/>
      <c r="I37" s="182">
        <f t="shared" si="7"/>
        <v>431.22829000000002</v>
      </c>
      <c r="J37" s="181">
        <f t="shared" si="6"/>
        <v>293.24008574800001</v>
      </c>
      <c r="K37" s="183">
        <v>5.9910944439999998</v>
      </c>
      <c r="L37" s="181"/>
      <c r="M37" s="182">
        <f t="shared" si="8"/>
        <v>299.23118019200001</v>
      </c>
      <c r="N37" s="181">
        <f t="shared" si="9"/>
        <v>137.988204252</v>
      </c>
      <c r="O37" s="181">
        <f t="shared" si="10"/>
        <v>131.997109808</v>
      </c>
    </row>
    <row r="38" spans="2:16" x14ac:dyDescent="0.2">
      <c r="B38" s="178">
        <v>7</v>
      </c>
      <c r="C38" s="179" t="s">
        <v>340</v>
      </c>
      <c r="D38" s="179">
        <v>1600</v>
      </c>
      <c r="E38" s="184"/>
      <c r="F38" s="181">
        <f t="shared" si="5"/>
        <v>14.619518599999999</v>
      </c>
      <c r="G38" s="181"/>
      <c r="H38" s="181"/>
      <c r="I38" s="182">
        <f t="shared" si="7"/>
        <v>14.619518599999999</v>
      </c>
      <c r="J38" s="181">
        <f t="shared" si="6"/>
        <v>12.042652226</v>
      </c>
      <c r="K38" s="183">
        <v>3.4231301270000003</v>
      </c>
      <c r="L38" s="181"/>
      <c r="M38" s="182">
        <f t="shared" si="8"/>
        <v>15.465782353</v>
      </c>
      <c r="N38" s="181">
        <f t="shared" si="9"/>
        <v>2.5768663739999997</v>
      </c>
      <c r="O38" s="181">
        <f t="shared" si="10"/>
        <v>-0.84626375300000056</v>
      </c>
    </row>
    <row r="39" spans="2:16" x14ac:dyDescent="0.2">
      <c r="B39" s="178">
        <v>8</v>
      </c>
      <c r="C39" s="179" t="s">
        <v>341</v>
      </c>
      <c r="D39" s="179">
        <v>1700</v>
      </c>
      <c r="E39" s="184"/>
      <c r="F39" s="181">
        <f t="shared" si="5"/>
        <v>1.2357594139999999</v>
      </c>
      <c r="G39" s="181"/>
      <c r="H39" s="181"/>
      <c r="I39" s="182">
        <f t="shared" si="7"/>
        <v>1.2357594139999999</v>
      </c>
      <c r="J39" s="181">
        <f t="shared" si="6"/>
        <v>0.60105180699999994</v>
      </c>
      <c r="K39" s="183">
        <v>9.8221177000000007E-2</v>
      </c>
      <c r="L39" s="181"/>
      <c r="M39" s="182">
        <f t="shared" si="8"/>
        <v>0.69927298399999993</v>
      </c>
      <c r="N39" s="181">
        <f t="shared" si="9"/>
        <v>0.63470760699999995</v>
      </c>
      <c r="O39" s="181">
        <f t="shared" si="10"/>
        <v>0.53648642999999996</v>
      </c>
    </row>
    <row r="40" spans="2:16" x14ac:dyDescent="0.2">
      <c r="B40" s="178">
        <v>9</v>
      </c>
      <c r="C40" s="179" t="s">
        <v>342</v>
      </c>
      <c r="D40" s="179">
        <v>1800</v>
      </c>
      <c r="E40" s="184"/>
      <c r="F40" s="181">
        <f t="shared" si="5"/>
        <v>0.80787568399999998</v>
      </c>
      <c r="G40" s="181"/>
      <c r="H40" s="181"/>
      <c r="I40" s="182">
        <f t="shared" si="7"/>
        <v>0.80787568399999998</v>
      </c>
      <c r="J40" s="181">
        <f t="shared" si="6"/>
        <v>0.464141637</v>
      </c>
      <c r="K40" s="183">
        <v>6.3191304000000004E-2</v>
      </c>
      <c r="L40" s="181"/>
      <c r="M40" s="182">
        <f t="shared" si="8"/>
        <v>0.52733294100000005</v>
      </c>
      <c r="N40" s="181">
        <f t="shared" si="9"/>
        <v>0.34373404699999999</v>
      </c>
      <c r="O40" s="181">
        <f t="shared" si="10"/>
        <v>0.28054274299999993</v>
      </c>
    </row>
    <row r="41" spans="2:16" x14ac:dyDescent="0.2">
      <c r="B41" s="178">
        <v>10</v>
      </c>
      <c r="C41" s="179" t="s">
        <v>303</v>
      </c>
      <c r="D41" s="179">
        <v>1900</v>
      </c>
      <c r="E41" s="184"/>
      <c r="F41" s="181">
        <f t="shared" si="5"/>
        <v>1.0751104250000001</v>
      </c>
      <c r="G41" s="181"/>
      <c r="H41" s="181"/>
      <c r="I41" s="182">
        <f t="shared" si="7"/>
        <v>1.0751104250000001</v>
      </c>
      <c r="J41" s="181">
        <f t="shared" si="6"/>
        <v>0.93277492100000003</v>
      </c>
      <c r="K41" s="183">
        <v>0.13753069500000001</v>
      </c>
      <c r="L41" s="181"/>
      <c r="M41" s="182">
        <f t="shared" si="8"/>
        <v>1.070305616</v>
      </c>
      <c r="N41" s="181">
        <f t="shared" si="9"/>
        <v>0.14233550400000006</v>
      </c>
      <c r="O41" s="181">
        <f t="shared" si="10"/>
        <v>4.804809000000132E-3</v>
      </c>
    </row>
    <row r="42" spans="2:16" x14ac:dyDescent="0.2">
      <c r="B42" s="178">
        <v>11</v>
      </c>
      <c r="C42" s="179" t="s">
        <v>343</v>
      </c>
      <c r="D42" s="179">
        <v>2100</v>
      </c>
      <c r="E42" s="184"/>
      <c r="F42" s="181">
        <f t="shared" si="5"/>
        <v>1.6084860430000001</v>
      </c>
      <c r="G42" s="181"/>
      <c r="H42" s="181"/>
      <c r="I42" s="182">
        <f t="shared" si="7"/>
        <v>1.6084860430000001</v>
      </c>
      <c r="J42" s="181">
        <f t="shared" si="6"/>
        <v>1.3604976470000001</v>
      </c>
      <c r="K42" s="183">
        <v>0.33777343700000001</v>
      </c>
      <c r="L42" s="181"/>
      <c r="M42" s="182">
        <f t="shared" si="8"/>
        <v>1.6982710840000002</v>
      </c>
      <c r="N42" s="181">
        <f t="shared" si="9"/>
        <v>0.247988396</v>
      </c>
      <c r="O42" s="181">
        <f t="shared" si="10"/>
        <v>-8.9785041000000065E-2</v>
      </c>
    </row>
    <row r="43" spans="2:16" ht="15" x14ac:dyDescent="0.2">
      <c r="B43" s="178"/>
      <c r="C43" s="198" t="s">
        <v>123</v>
      </c>
      <c r="D43" s="198"/>
      <c r="E43" s="199">
        <f>IFERROR((K43-L43)/AVERAGE(F43,I43),0)</f>
        <v>1.7388977276403279E-2</v>
      </c>
      <c r="F43" s="200">
        <f>ROUND(SUM(F32:F42),2)</f>
        <v>3400.43</v>
      </c>
      <c r="G43" s="200">
        <f t="shared" ref="G43:O43" si="11">ROUND(SUM(G32:G42),2)</f>
        <v>0</v>
      </c>
      <c r="H43" s="200">
        <f t="shared" si="11"/>
        <v>0</v>
      </c>
      <c r="I43" s="200">
        <f t="shared" si="11"/>
        <v>3400.43</v>
      </c>
      <c r="J43" s="200">
        <f t="shared" si="11"/>
        <v>1996.05</v>
      </c>
      <c r="K43" s="200">
        <f t="shared" si="11"/>
        <v>59.13</v>
      </c>
      <c r="L43" s="200">
        <f t="shared" si="11"/>
        <v>0</v>
      </c>
      <c r="M43" s="200">
        <f t="shared" si="11"/>
        <v>2055.1799999999998</v>
      </c>
      <c r="N43" s="200">
        <f t="shared" si="11"/>
        <v>1404.38</v>
      </c>
      <c r="O43" s="200">
        <f t="shared" si="11"/>
        <v>1345.25</v>
      </c>
    </row>
    <row r="44" spans="2:16" ht="15" thickBot="1" x14ac:dyDescent="0.25">
      <c r="K44" s="148"/>
      <c r="L44" s="148"/>
      <c r="P44" s="148"/>
    </row>
    <row r="45" spans="2:16" ht="15" x14ac:dyDescent="0.2">
      <c r="B45" s="237" t="s">
        <v>331</v>
      </c>
      <c r="C45" s="238"/>
      <c r="D45" s="238"/>
      <c r="E45" s="238"/>
      <c r="F45" s="238"/>
      <c r="G45" s="238"/>
      <c r="H45" s="238"/>
      <c r="I45" s="238"/>
      <c r="J45" s="238"/>
      <c r="K45" s="238"/>
      <c r="L45" s="238"/>
      <c r="M45" s="238"/>
      <c r="N45" s="238"/>
      <c r="O45" s="239"/>
    </row>
    <row r="46" spans="2:16" ht="15" x14ac:dyDescent="0.2">
      <c r="B46" s="240" t="s">
        <v>2</v>
      </c>
      <c r="C46" s="241" t="s">
        <v>231</v>
      </c>
      <c r="D46" s="240" t="s">
        <v>220</v>
      </c>
      <c r="E46" s="240" t="s">
        <v>221</v>
      </c>
      <c r="F46" s="242" t="s">
        <v>222</v>
      </c>
      <c r="G46" s="242"/>
      <c r="H46" s="242"/>
      <c r="I46" s="242"/>
      <c r="J46" s="242" t="s">
        <v>223</v>
      </c>
      <c r="K46" s="242"/>
      <c r="L46" s="242"/>
      <c r="M46" s="242"/>
      <c r="N46" s="242" t="s">
        <v>224</v>
      </c>
      <c r="O46" s="243"/>
    </row>
    <row r="47" spans="2:16" ht="60" x14ac:dyDescent="0.2">
      <c r="B47" s="240"/>
      <c r="C47" s="241"/>
      <c r="D47" s="240"/>
      <c r="E47" s="240"/>
      <c r="F47" s="176" t="s">
        <v>225</v>
      </c>
      <c r="G47" s="176" t="s">
        <v>122</v>
      </c>
      <c r="H47" s="176" t="s">
        <v>226</v>
      </c>
      <c r="I47" s="176" t="s">
        <v>227</v>
      </c>
      <c r="J47" s="176" t="s">
        <v>228</v>
      </c>
      <c r="K47" s="176" t="s">
        <v>122</v>
      </c>
      <c r="L47" s="176" t="s">
        <v>229</v>
      </c>
      <c r="M47" s="176" t="s">
        <v>230</v>
      </c>
      <c r="N47" s="176" t="s">
        <v>225</v>
      </c>
      <c r="O47" s="177" t="s">
        <v>227</v>
      </c>
    </row>
    <row r="48" spans="2:16" x14ac:dyDescent="0.2">
      <c r="B48" s="178">
        <v>1</v>
      </c>
      <c r="C48" s="179" t="s">
        <v>334</v>
      </c>
      <c r="D48" s="179">
        <v>1000</v>
      </c>
      <c r="E48" s="180">
        <v>0</v>
      </c>
      <c r="F48" s="181">
        <f t="shared" ref="F48:F58" si="12">I32</f>
        <v>0.30328280000000002</v>
      </c>
      <c r="G48" s="181"/>
      <c r="H48" s="181"/>
      <c r="I48" s="182">
        <f>F48+G48+H48</f>
        <v>0.30328280000000002</v>
      </c>
      <c r="J48" s="181">
        <f t="shared" ref="J48:J58" si="13">M32</f>
        <v>0</v>
      </c>
      <c r="K48" s="183">
        <v>0</v>
      </c>
      <c r="L48" s="181"/>
      <c r="M48" s="182">
        <f>J48+K48+L48</f>
        <v>0</v>
      </c>
      <c r="N48" s="181">
        <f>+F48-J48</f>
        <v>0.30328280000000002</v>
      </c>
      <c r="O48" s="181">
        <f>+I48-M48</f>
        <v>0.30328280000000002</v>
      </c>
    </row>
    <row r="49" spans="2:15" x14ac:dyDescent="0.2">
      <c r="B49" s="178">
        <v>2</v>
      </c>
      <c r="C49" s="179" t="s">
        <v>335</v>
      </c>
      <c r="D49" s="179">
        <v>1100</v>
      </c>
      <c r="E49" s="180"/>
      <c r="F49" s="181">
        <f t="shared" si="12"/>
        <v>434.68127679999998</v>
      </c>
      <c r="G49" s="181"/>
      <c r="H49" s="181"/>
      <c r="I49" s="182">
        <f t="shared" ref="I49:I58" si="14">F49+G49+H49</f>
        <v>434.68127679999998</v>
      </c>
      <c r="J49" s="181">
        <f t="shared" si="13"/>
        <v>317.89070113599996</v>
      </c>
      <c r="K49" s="183">
        <v>15.081041213999999</v>
      </c>
      <c r="L49" s="181"/>
      <c r="M49" s="182">
        <f t="shared" ref="M49:M58" si="15">J49+K49+L49</f>
        <v>332.97174234999994</v>
      </c>
      <c r="N49" s="181">
        <f t="shared" ref="N49:N58" si="16">+F49-J49</f>
        <v>116.79057566400002</v>
      </c>
      <c r="O49" s="181">
        <f t="shared" ref="O49:O58" si="17">+I49-M49</f>
        <v>101.70953445000004</v>
      </c>
    </row>
    <row r="50" spans="2:15" x14ac:dyDescent="0.2">
      <c r="B50" s="178">
        <v>3</v>
      </c>
      <c r="C50" s="179" t="s">
        <v>336</v>
      </c>
      <c r="D50" s="179">
        <v>1200</v>
      </c>
      <c r="E50" s="184"/>
      <c r="F50" s="181">
        <f t="shared" si="12"/>
        <v>240.64748510000001</v>
      </c>
      <c r="G50" s="181"/>
      <c r="H50" s="181"/>
      <c r="I50" s="182">
        <f t="shared" si="14"/>
        <v>240.64748510000001</v>
      </c>
      <c r="J50" s="181">
        <f t="shared" si="13"/>
        <v>206.39741524900001</v>
      </c>
      <c r="K50" s="183">
        <v>0.61828580199999994</v>
      </c>
      <c r="L50" s="181"/>
      <c r="M50" s="182">
        <f t="shared" si="15"/>
        <v>207.01570105100001</v>
      </c>
      <c r="N50" s="181">
        <f t="shared" si="16"/>
        <v>34.250069851000006</v>
      </c>
      <c r="O50" s="181">
        <f t="shared" si="17"/>
        <v>33.631784049000004</v>
      </c>
    </row>
    <row r="51" spans="2:15" x14ac:dyDescent="0.2">
      <c r="B51" s="178">
        <v>4</v>
      </c>
      <c r="C51" s="179" t="s">
        <v>337</v>
      </c>
      <c r="D51" s="179">
        <v>1300</v>
      </c>
      <c r="E51" s="184"/>
      <c r="F51" s="181">
        <f t="shared" si="12"/>
        <v>2265.1307581630008</v>
      </c>
      <c r="G51" s="181"/>
      <c r="H51" s="181"/>
      <c r="I51" s="182">
        <f t="shared" si="14"/>
        <v>2265.1307581630008</v>
      </c>
      <c r="J51" s="181">
        <f t="shared" si="13"/>
        <v>1209.0332465370007</v>
      </c>
      <c r="K51" s="183">
        <v>33.039652803999999</v>
      </c>
      <c r="L51" s="181"/>
      <c r="M51" s="182">
        <f t="shared" si="15"/>
        <v>1242.0728993410007</v>
      </c>
      <c r="N51" s="181">
        <f t="shared" si="16"/>
        <v>1056.0975116260001</v>
      </c>
      <c r="O51" s="181">
        <f t="shared" si="17"/>
        <v>1023.0578588220001</v>
      </c>
    </row>
    <row r="52" spans="2:15" x14ac:dyDescent="0.2">
      <c r="B52" s="178">
        <v>5</v>
      </c>
      <c r="C52" s="179" t="s">
        <v>338</v>
      </c>
      <c r="D52" s="179">
        <v>1400</v>
      </c>
      <c r="E52" s="184"/>
      <c r="F52" s="181">
        <f t="shared" si="12"/>
        <v>9.0895344609999995</v>
      </c>
      <c r="G52" s="181"/>
      <c r="H52" s="181"/>
      <c r="I52" s="182">
        <f t="shared" si="14"/>
        <v>9.0895344609999995</v>
      </c>
      <c r="J52" s="181">
        <f t="shared" si="13"/>
        <v>3.1664919079999998</v>
      </c>
      <c r="K52" s="183">
        <v>0.34007899600000002</v>
      </c>
      <c r="L52" s="181"/>
      <c r="M52" s="182">
        <f t="shared" si="15"/>
        <v>3.5065709039999997</v>
      </c>
      <c r="N52" s="181">
        <f t="shared" si="16"/>
        <v>5.9230425530000002</v>
      </c>
      <c r="O52" s="181">
        <f t="shared" si="17"/>
        <v>5.5829635569999994</v>
      </c>
    </row>
    <row r="53" spans="2:15" x14ac:dyDescent="0.2">
      <c r="B53" s="178">
        <v>6</v>
      </c>
      <c r="C53" s="179" t="s">
        <v>339</v>
      </c>
      <c r="D53" s="179">
        <v>1500</v>
      </c>
      <c r="E53" s="184"/>
      <c r="F53" s="181">
        <f t="shared" si="12"/>
        <v>431.22829000000002</v>
      </c>
      <c r="G53" s="181"/>
      <c r="H53" s="181"/>
      <c r="I53" s="182">
        <f t="shared" si="14"/>
        <v>431.22829000000002</v>
      </c>
      <c r="J53" s="181">
        <f t="shared" si="13"/>
        <v>299.23118019200001</v>
      </c>
      <c r="K53" s="183">
        <v>5.9910944439999998</v>
      </c>
      <c r="L53" s="181"/>
      <c r="M53" s="182">
        <f t="shared" si="15"/>
        <v>305.22227463600001</v>
      </c>
      <c r="N53" s="181">
        <f t="shared" si="16"/>
        <v>131.997109808</v>
      </c>
      <c r="O53" s="181">
        <f t="shared" si="17"/>
        <v>126.00601536400001</v>
      </c>
    </row>
    <row r="54" spans="2:15" x14ac:dyDescent="0.2">
      <c r="B54" s="178">
        <v>7</v>
      </c>
      <c r="C54" s="179" t="s">
        <v>340</v>
      </c>
      <c r="D54" s="179">
        <v>1600</v>
      </c>
      <c r="E54" s="184"/>
      <c r="F54" s="181">
        <f t="shared" si="12"/>
        <v>14.619518599999999</v>
      </c>
      <c r="G54" s="181"/>
      <c r="H54" s="181"/>
      <c r="I54" s="182">
        <f t="shared" si="14"/>
        <v>14.619518599999999</v>
      </c>
      <c r="J54" s="181">
        <f t="shared" si="13"/>
        <v>15.465782353</v>
      </c>
      <c r="K54" s="183">
        <v>3.4231301270000003</v>
      </c>
      <c r="L54" s="181"/>
      <c r="M54" s="182">
        <f t="shared" si="15"/>
        <v>18.888912480000002</v>
      </c>
      <c r="N54" s="181">
        <f t="shared" si="16"/>
        <v>-0.84626375300000056</v>
      </c>
      <c r="O54" s="181">
        <f t="shared" si="17"/>
        <v>-4.2693938800000026</v>
      </c>
    </row>
    <row r="55" spans="2:15" x14ac:dyDescent="0.2">
      <c r="B55" s="178">
        <v>8</v>
      </c>
      <c r="C55" s="179" t="s">
        <v>341</v>
      </c>
      <c r="D55" s="179">
        <v>1700</v>
      </c>
      <c r="E55" s="184"/>
      <c r="F55" s="181">
        <f t="shared" si="12"/>
        <v>1.2357594139999999</v>
      </c>
      <c r="G55" s="181"/>
      <c r="H55" s="181"/>
      <c r="I55" s="182">
        <f t="shared" si="14"/>
        <v>1.2357594139999999</v>
      </c>
      <c r="J55" s="181">
        <f t="shared" si="13"/>
        <v>0.69927298399999993</v>
      </c>
      <c r="K55" s="183">
        <v>9.8221177000000007E-2</v>
      </c>
      <c r="L55" s="181"/>
      <c r="M55" s="182">
        <f t="shared" si="15"/>
        <v>0.79749416099999992</v>
      </c>
      <c r="N55" s="181">
        <f t="shared" si="16"/>
        <v>0.53648642999999996</v>
      </c>
      <c r="O55" s="181">
        <f t="shared" si="17"/>
        <v>0.43826525299999997</v>
      </c>
    </row>
    <row r="56" spans="2:15" x14ac:dyDescent="0.2">
      <c r="B56" s="178">
        <v>9</v>
      </c>
      <c r="C56" s="179" t="s">
        <v>342</v>
      </c>
      <c r="D56" s="179">
        <v>1800</v>
      </c>
      <c r="E56" s="184"/>
      <c r="F56" s="181">
        <f t="shared" si="12"/>
        <v>0.80787568399999998</v>
      </c>
      <c r="G56" s="181"/>
      <c r="H56" s="181"/>
      <c r="I56" s="182">
        <f t="shared" si="14"/>
        <v>0.80787568399999998</v>
      </c>
      <c r="J56" s="181">
        <f t="shared" si="13"/>
        <v>0.52733294100000005</v>
      </c>
      <c r="K56" s="183">
        <v>6.3191304000000004E-2</v>
      </c>
      <c r="L56" s="181"/>
      <c r="M56" s="182">
        <f t="shared" si="15"/>
        <v>0.59052424500000011</v>
      </c>
      <c r="N56" s="181">
        <f t="shared" si="16"/>
        <v>0.28054274299999993</v>
      </c>
      <c r="O56" s="181">
        <f t="shared" si="17"/>
        <v>0.21735143899999987</v>
      </c>
    </row>
    <row r="57" spans="2:15" x14ac:dyDescent="0.2">
      <c r="B57" s="178">
        <v>10</v>
      </c>
      <c r="C57" s="179" t="s">
        <v>303</v>
      </c>
      <c r="D57" s="179">
        <v>1900</v>
      </c>
      <c r="E57" s="184"/>
      <c r="F57" s="181">
        <f t="shared" si="12"/>
        <v>1.0751104250000001</v>
      </c>
      <c r="G57" s="181"/>
      <c r="H57" s="181"/>
      <c r="I57" s="182">
        <f t="shared" si="14"/>
        <v>1.0751104250000001</v>
      </c>
      <c r="J57" s="181">
        <f t="shared" si="13"/>
        <v>1.070305616</v>
      </c>
      <c r="K57" s="183">
        <v>0.13753069500000001</v>
      </c>
      <c r="L57" s="181"/>
      <c r="M57" s="182">
        <f t="shared" si="15"/>
        <v>1.2078363109999999</v>
      </c>
      <c r="N57" s="181">
        <f t="shared" si="16"/>
        <v>4.804809000000132E-3</v>
      </c>
      <c r="O57" s="181">
        <f t="shared" si="17"/>
        <v>-0.13272588599999979</v>
      </c>
    </row>
    <row r="58" spans="2:15" x14ac:dyDescent="0.2">
      <c r="B58" s="178">
        <v>11</v>
      </c>
      <c r="C58" s="179" t="s">
        <v>343</v>
      </c>
      <c r="D58" s="179">
        <v>2100</v>
      </c>
      <c r="E58" s="184"/>
      <c r="F58" s="181">
        <f t="shared" si="12"/>
        <v>1.6084860430000001</v>
      </c>
      <c r="G58" s="181"/>
      <c r="H58" s="181"/>
      <c r="I58" s="182">
        <f t="shared" si="14"/>
        <v>1.6084860430000001</v>
      </c>
      <c r="J58" s="181">
        <f t="shared" si="13"/>
        <v>1.6982710840000002</v>
      </c>
      <c r="K58" s="183">
        <v>0.33777343700000001</v>
      </c>
      <c r="L58" s="181"/>
      <c r="M58" s="182">
        <f t="shared" si="15"/>
        <v>2.036044521</v>
      </c>
      <c r="N58" s="181">
        <f t="shared" si="16"/>
        <v>-8.9785041000000065E-2</v>
      </c>
      <c r="O58" s="181">
        <f t="shared" si="17"/>
        <v>-0.42755847799999991</v>
      </c>
    </row>
    <row r="59" spans="2:15" s="48" customFormat="1" ht="15.75" thickBot="1" x14ac:dyDescent="0.25">
      <c r="B59" s="204"/>
      <c r="C59" s="205" t="s">
        <v>123</v>
      </c>
      <c r="D59" s="205"/>
      <c r="E59" s="206">
        <f>IFERROR((K59-L59)/AVERAGE(F59,I59),0)</f>
        <v>1.7388977276403279E-2</v>
      </c>
      <c r="F59" s="207">
        <f>ROUND(SUM(F48:F58),2)</f>
        <v>3400.43</v>
      </c>
      <c r="G59" s="207">
        <f t="shared" ref="G59:O59" si="18">ROUND(SUM(G48:G58),2)</f>
        <v>0</v>
      </c>
      <c r="H59" s="207">
        <f t="shared" si="18"/>
        <v>0</v>
      </c>
      <c r="I59" s="207">
        <f t="shared" si="18"/>
        <v>3400.43</v>
      </c>
      <c r="J59" s="207">
        <f t="shared" si="18"/>
        <v>2055.1799999999998</v>
      </c>
      <c r="K59" s="207">
        <f t="shared" si="18"/>
        <v>59.13</v>
      </c>
      <c r="L59" s="207">
        <f t="shared" si="18"/>
        <v>0</v>
      </c>
      <c r="M59" s="207">
        <f t="shared" si="18"/>
        <v>2114.31</v>
      </c>
      <c r="N59" s="207">
        <f t="shared" si="18"/>
        <v>1345.25</v>
      </c>
      <c r="O59" s="207">
        <f t="shared" si="18"/>
        <v>1286.1199999999999</v>
      </c>
    </row>
  </sheetData>
  <mergeCells count="24">
    <mergeCell ref="J8:M8"/>
    <mergeCell ref="N8:O8"/>
    <mergeCell ref="B7:O7"/>
    <mergeCell ref="B8:B9"/>
    <mergeCell ref="C8:C9"/>
    <mergeCell ref="D8:D9"/>
    <mergeCell ref="E8:E9"/>
    <mergeCell ref="F8:I8"/>
    <mergeCell ref="B29:O29"/>
    <mergeCell ref="B30:B31"/>
    <mergeCell ref="C30:C31"/>
    <mergeCell ref="D30:D31"/>
    <mergeCell ref="E30:E31"/>
    <mergeCell ref="F30:I30"/>
    <mergeCell ref="J30:M30"/>
    <mergeCell ref="N30:O30"/>
    <mergeCell ref="B45:O45"/>
    <mergeCell ref="B46:B47"/>
    <mergeCell ref="C46:C47"/>
    <mergeCell ref="D46:D47"/>
    <mergeCell ref="E46:E47"/>
    <mergeCell ref="F46:I46"/>
    <mergeCell ref="J46:M46"/>
    <mergeCell ref="N46:O46"/>
  </mergeCells>
  <pageMargins left="0.27" right="0.25" top="0.25" bottom="0.25" header="0.25" footer="0.25"/>
  <pageSetup paperSize="9" scale="90" fitToHeight="0" orientation="landscape" r:id="rId1"/>
  <headerFooter alignWithMargins="0"/>
  <rowBreaks count="1" manualBreakCount="1">
    <brk id="28" min="1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3"/>
  <sheetViews>
    <sheetView zoomScale="98" zoomScaleNormal="98" zoomScaleSheetLayoutView="90" workbookViewId="0">
      <selection activeCell="E25" sqref="E25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9" width="12.5703125" style="5" customWidth="1"/>
    <col min="10" max="13" width="11.7109375" style="5" bestFit="1" customWidth="1"/>
    <col min="14" max="16384" width="9.28515625" style="5"/>
  </cols>
  <sheetData>
    <row r="1" spans="2:10" ht="15" x14ac:dyDescent="0.2">
      <c r="B1" s="24"/>
    </row>
    <row r="2" spans="2:10" ht="15" x14ac:dyDescent="0.2">
      <c r="E2" s="32" t="s">
        <v>298</v>
      </c>
    </row>
    <row r="3" spans="2:10" ht="15" x14ac:dyDescent="0.2">
      <c r="E3" s="32" t="str">
        <f>'F1'!$F$3</f>
        <v>SLBHES</v>
      </c>
    </row>
    <row r="4" spans="2:10" ht="15" x14ac:dyDescent="0.2">
      <c r="E4" s="35" t="s">
        <v>240</v>
      </c>
    </row>
    <row r="5" spans="2:10" ht="15" x14ac:dyDescent="0.2">
      <c r="B5" s="33" t="s">
        <v>41</v>
      </c>
      <c r="C5" s="24" t="s">
        <v>241</v>
      </c>
      <c r="J5" s="26" t="s">
        <v>4</v>
      </c>
    </row>
    <row r="6" spans="2:10" s="13" customFormat="1" ht="15" customHeight="1" x14ac:dyDescent="0.2">
      <c r="B6" s="219" t="s">
        <v>164</v>
      </c>
      <c r="C6" s="222" t="s">
        <v>14</v>
      </c>
      <c r="D6" s="226" t="s">
        <v>299</v>
      </c>
      <c r="E6" s="227"/>
      <c r="F6" s="228"/>
      <c r="G6" s="224" t="s">
        <v>300</v>
      </c>
      <c r="H6" s="224"/>
      <c r="I6" s="245" t="s">
        <v>331</v>
      </c>
      <c r="J6" s="246"/>
    </row>
    <row r="7" spans="2:10" s="13" customFormat="1" ht="45" x14ac:dyDescent="0.2">
      <c r="B7" s="220"/>
      <c r="C7" s="222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205</v>
      </c>
    </row>
    <row r="8" spans="2:10" s="13" customFormat="1" ht="30" x14ac:dyDescent="0.2">
      <c r="B8" s="221"/>
      <c r="C8" s="223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327</v>
      </c>
      <c r="I8" s="15" t="s">
        <v>10</v>
      </c>
      <c r="J8" s="15" t="s">
        <v>327</v>
      </c>
    </row>
    <row r="9" spans="2:10" x14ac:dyDescent="0.2">
      <c r="B9" s="61">
        <v>1</v>
      </c>
      <c r="C9" s="27" t="s">
        <v>148</v>
      </c>
      <c r="D9" s="2"/>
      <c r="E9" s="111">
        <f>'F4'!F21*70%</f>
        <v>2368.9469999999997</v>
      </c>
      <c r="F9" s="111">
        <f>E9</f>
        <v>2368.9469999999997</v>
      </c>
      <c r="G9" s="21"/>
      <c r="H9" s="104">
        <f>E9+E13</f>
        <v>2381.1119999999996</v>
      </c>
      <c r="I9" s="21"/>
      <c r="J9" s="104">
        <f>H9+H13</f>
        <v>2381.1119999999996</v>
      </c>
    </row>
    <row r="10" spans="2:10" x14ac:dyDescent="0.2">
      <c r="B10" s="20">
        <f>B9+1</f>
        <v>2</v>
      </c>
      <c r="C10" s="27" t="s">
        <v>149</v>
      </c>
      <c r="D10" s="2"/>
      <c r="E10" s="111">
        <f>'F4'!J21</f>
        <v>1937.33</v>
      </c>
      <c r="F10" s="111">
        <f>E10</f>
        <v>1937.33</v>
      </c>
      <c r="G10" s="104"/>
      <c r="H10" s="104">
        <f>'F4'!J43</f>
        <v>1996.05</v>
      </c>
      <c r="I10" s="21"/>
      <c r="J10" s="104">
        <f>H10+H14</f>
        <v>2055.1799999999998</v>
      </c>
    </row>
    <row r="11" spans="2:10" ht="15" x14ac:dyDescent="0.2">
      <c r="B11" s="20">
        <f t="shared" ref="B11:B21" si="0">B10+1</f>
        <v>3</v>
      </c>
      <c r="C11" s="29" t="s">
        <v>150</v>
      </c>
      <c r="D11" s="108">
        <f>D9-D10</f>
        <v>0</v>
      </c>
      <c r="E11" s="108">
        <f>IF((E9-E10)&lt;0,0,(E9-E10))</f>
        <v>431.61699999999973</v>
      </c>
      <c r="F11" s="108">
        <f>IF((F9-F10)&lt;0,0,(F9-F10))</f>
        <v>431.61699999999973</v>
      </c>
      <c r="G11" s="108">
        <f>IF((G9-G10)&lt;0,0,(G9-G10))</f>
        <v>0</v>
      </c>
      <c r="H11" s="108">
        <f>IF((H9-H10)&lt;0,0,(H9-H10))</f>
        <v>385.06199999999967</v>
      </c>
      <c r="I11" s="108"/>
      <c r="J11" s="108">
        <f>IF((J9-J10)&lt;0,0,(J9-J10))</f>
        <v>325.93199999999979</v>
      </c>
    </row>
    <row r="12" spans="2:10" ht="28.5" x14ac:dyDescent="0.2">
      <c r="B12" s="20">
        <f t="shared" si="0"/>
        <v>4</v>
      </c>
      <c r="C12" s="65" t="s">
        <v>151</v>
      </c>
      <c r="D12" s="110"/>
      <c r="E12" s="110"/>
      <c r="F12" s="110"/>
      <c r="G12" s="110"/>
      <c r="H12" s="110"/>
      <c r="I12" s="110"/>
      <c r="J12" s="110"/>
    </row>
    <row r="13" spans="2:10" s="32" customFormat="1" ht="28.5" x14ac:dyDescent="0.2">
      <c r="B13" s="20">
        <f t="shared" si="0"/>
        <v>5</v>
      </c>
      <c r="C13" s="37" t="s">
        <v>295</v>
      </c>
      <c r="D13" s="110"/>
      <c r="E13" s="116">
        <f>'F3'!E12*75%</f>
        <v>12.165000000000003</v>
      </c>
      <c r="F13" s="116">
        <f>'F3'!F12*75%</f>
        <v>12.165000000000003</v>
      </c>
      <c r="G13" s="116">
        <f>'F3'!G12*75%</f>
        <v>0</v>
      </c>
      <c r="H13" s="116">
        <f>'F3'!H12*75%</f>
        <v>0</v>
      </c>
      <c r="I13" s="116">
        <f>'F3'!I12*75%</f>
        <v>0</v>
      </c>
      <c r="J13" s="116">
        <f>'F3'!J12*75%</f>
        <v>0</v>
      </c>
    </row>
    <row r="14" spans="2:10" x14ac:dyDescent="0.2">
      <c r="B14" s="20">
        <f t="shared" si="0"/>
        <v>6</v>
      </c>
      <c r="C14" s="65" t="s">
        <v>156</v>
      </c>
      <c r="D14" s="124"/>
      <c r="E14" s="124">
        <f>'F1'!G11</f>
        <v>58.72</v>
      </c>
      <c r="F14" s="124">
        <f>'F1'!H11</f>
        <v>58.72</v>
      </c>
      <c r="G14" s="124"/>
      <c r="H14" s="124">
        <f>'F4'!K43</f>
        <v>59.13</v>
      </c>
      <c r="I14" s="124"/>
      <c r="J14" s="124">
        <f>'F1'!L11</f>
        <v>59.13</v>
      </c>
    </row>
    <row r="15" spans="2:10" ht="15" x14ac:dyDescent="0.2">
      <c r="B15" s="20">
        <f t="shared" si="0"/>
        <v>7</v>
      </c>
      <c r="C15" s="27" t="s">
        <v>152</v>
      </c>
      <c r="D15" s="108"/>
      <c r="E15" s="108">
        <f>IF((E11-E12+E13-E14)&lt;0,0,(E11-E12+E13-E14))</f>
        <v>385.06199999999978</v>
      </c>
      <c r="F15" s="108">
        <f>IF((F11-F12+F13-F14)&lt;0,0,(F11-F12+F13-F14))</f>
        <v>385.06199999999978</v>
      </c>
      <c r="G15" s="108"/>
      <c r="H15" s="108">
        <f>IF((H11-H12+H13-H14)&lt;0,0,(H11-H12+H13-H14))</f>
        <v>325.93199999999968</v>
      </c>
      <c r="I15" s="108"/>
      <c r="J15" s="108">
        <f>IF((J11-J12+J13-J14)&lt;0,0,(J11-J12+J13-J14))</f>
        <v>266.80199999999979</v>
      </c>
    </row>
    <row r="16" spans="2:10" ht="15" x14ac:dyDescent="0.2">
      <c r="B16" s="20">
        <f t="shared" si="0"/>
        <v>8</v>
      </c>
      <c r="C16" s="27" t="s">
        <v>153</v>
      </c>
      <c r="D16" s="108"/>
      <c r="E16" s="108">
        <f t="shared" ref="E16:J16" si="1">E9-E12+E13-E14</f>
        <v>2322.3919999999998</v>
      </c>
      <c r="F16" s="108">
        <f t="shared" si="1"/>
        <v>2322.3919999999998</v>
      </c>
      <c r="G16" s="108"/>
      <c r="H16" s="108">
        <f t="shared" si="1"/>
        <v>2321.9819999999995</v>
      </c>
      <c r="I16" s="108"/>
      <c r="J16" s="108">
        <f t="shared" si="1"/>
        <v>2321.9819999999995</v>
      </c>
    </row>
    <row r="17" spans="2:10" ht="15" x14ac:dyDescent="0.2">
      <c r="B17" s="20">
        <f t="shared" si="0"/>
        <v>9</v>
      </c>
      <c r="C17" s="27" t="s">
        <v>182</v>
      </c>
      <c r="D17" s="108"/>
      <c r="E17" s="108">
        <f t="shared" ref="E17:J17" si="2">AVERAGE(E11,E15)</f>
        <v>408.33949999999976</v>
      </c>
      <c r="F17" s="108">
        <f t="shared" si="2"/>
        <v>408.33949999999976</v>
      </c>
      <c r="G17" s="108"/>
      <c r="H17" s="108">
        <f t="shared" si="2"/>
        <v>355.49699999999967</v>
      </c>
      <c r="I17" s="108"/>
      <c r="J17" s="108">
        <f t="shared" si="2"/>
        <v>296.36699999999979</v>
      </c>
    </row>
    <row r="18" spans="2:10" x14ac:dyDescent="0.2">
      <c r="B18" s="20">
        <f t="shared" si="0"/>
        <v>10</v>
      </c>
      <c r="C18" s="65" t="s">
        <v>181</v>
      </c>
      <c r="D18" s="109"/>
      <c r="E18" s="109">
        <v>0.10150000000000001</v>
      </c>
      <c r="F18" s="109">
        <f>E18</f>
        <v>0.10150000000000001</v>
      </c>
      <c r="G18" s="109"/>
      <c r="H18" s="109">
        <v>0.10150000000000001</v>
      </c>
      <c r="I18" s="109"/>
      <c r="J18" s="109">
        <v>0.10150000000000001</v>
      </c>
    </row>
    <row r="19" spans="2:10" ht="15" x14ac:dyDescent="0.2">
      <c r="B19" s="20">
        <f t="shared" si="0"/>
        <v>11</v>
      </c>
      <c r="C19" s="27" t="s">
        <v>242</v>
      </c>
      <c r="D19" s="108">
        <f>D17*D18</f>
        <v>0</v>
      </c>
      <c r="E19" s="108">
        <f>ROUND(E17*E18,2)</f>
        <v>41.45</v>
      </c>
      <c r="F19" s="108">
        <f t="shared" ref="F19:J19" si="3">ROUND(F17*F18,2)</f>
        <v>41.45</v>
      </c>
      <c r="G19" s="108">
        <f t="shared" si="3"/>
        <v>0</v>
      </c>
      <c r="H19" s="108">
        <f t="shared" si="3"/>
        <v>36.08</v>
      </c>
      <c r="I19" s="108">
        <f t="shared" si="3"/>
        <v>0</v>
      </c>
      <c r="J19" s="108">
        <f t="shared" si="3"/>
        <v>30.08</v>
      </c>
    </row>
    <row r="20" spans="2:10" x14ac:dyDescent="0.2">
      <c r="B20" s="20">
        <f t="shared" si="0"/>
        <v>12</v>
      </c>
      <c r="C20" s="27" t="s">
        <v>243</v>
      </c>
      <c r="D20" s="66"/>
      <c r="E20" s="66"/>
      <c r="F20" s="66"/>
      <c r="G20" s="66"/>
      <c r="H20" s="66"/>
      <c r="I20" s="66"/>
      <c r="J20" s="66"/>
    </row>
    <row r="21" spans="2:10" ht="15" x14ac:dyDescent="0.2">
      <c r="B21" s="20">
        <f t="shared" si="0"/>
        <v>13</v>
      </c>
      <c r="C21" s="27" t="s">
        <v>244</v>
      </c>
      <c r="D21" s="108">
        <v>24.01</v>
      </c>
      <c r="E21" s="108">
        <f>IF((E19+E20)&lt;0,0,(E19+E20))</f>
        <v>41.45</v>
      </c>
      <c r="F21" s="108">
        <f>IF((F19+F20)&lt;0,0,(F19+F20))</f>
        <v>41.45</v>
      </c>
      <c r="G21" s="108">
        <v>15.88</v>
      </c>
      <c r="H21" s="108">
        <f>IF((H19+H20)&lt;0,0,(H19+H20))</f>
        <v>36.08</v>
      </c>
      <c r="I21" s="108">
        <v>0</v>
      </c>
      <c r="J21" s="108">
        <f>IF((J19+J20)&lt;0,0,(J19+J20))</f>
        <v>30.08</v>
      </c>
    </row>
    <row r="22" spans="2:10" x14ac:dyDescent="0.2">
      <c r="B22" s="34"/>
      <c r="C22" s="5" t="s">
        <v>208</v>
      </c>
    </row>
    <row r="23" spans="2:10" x14ac:dyDescent="0.2">
      <c r="C23" s="5" t="s">
        <v>296</v>
      </c>
    </row>
  </sheetData>
  <mergeCells count="5">
    <mergeCell ref="I6:J6"/>
    <mergeCell ref="B6:B8"/>
    <mergeCell ref="C6:C8"/>
    <mergeCell ref="D6:F6"/>
    <mergeCell ref="G6:H6"/>
  </mergeCells>
  <pageMargins left="0.27559055118110237" right="0.23622047244094491" top="0.23622047244094491" bottom="0.23622047244094491" header="0.23622047244094491" footer="0.23622047244094491"/>
  <pageSetup paperSize="9" scale="93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showGridLines="0" topLeftCell="A5" zoomScale="95" zoomScaleNormal="95" zoomScaleSheetLayoutView="90" workbookViewId="0">
      <selection activeCell="N22" sqref="N22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9" width="12.5703125" style="5" customWidth="1"/>
    <col min="10" max="10" width="14.42578125" style="5" bestFit="1" customWidth="1"/>
    <col min="11" max="13" width="11.7109375" style="5" bestFit="1" customWidth="1"/>
    <col min="14" max="16384" width="9.28515625" style="5"/>
  </cols>
  <sheetData>
    <row r="1" spans="2:12" ht="15" x14ac:dyDescent="0.2">
      <c r="B1" s="24"/>
    </row>
    <row r="2" spans="2:12" ht="14.25" customHeight="1" x14ac:dyDescent="0.2">
      <c r="B2" s="229" t="s">
        <v>298</v>
      </c>
      <c r="C2" s="229"/>
      <c r="D2" s="229"/>
      <c r="E2" s="229"/>
      <c r="F2" s="229"/>
      <c r="G2" s="229"/>
      <c r="H2" s="229"/>
      <c r="I2" s="229"/>
      <c r="J2" s="229"/>
    </row>
    <row r="3" spans="2:12" ht="14.25" customHeight="1" x14ac:dyDescent="0.2">
      <c r="B3" s="229" t="str">
        <f>'F1'!$F$3</f>
        <v>SLBHES</v>
      </c>
      <c r="C3" s="229"/>
      <c r="D3" s="229"/>
      <c r="E3" s="229"/>
      <c r="F3" s="229"/>
      <c r="G3" s="229"/>
      <c r="H3" s="229"/>
      <c r="I3" s="229"/>
      <c r="J3" s="229"/>
    </row>
    <row r="4" spans="2:12" ht="15" x14ac:dyDescent="0.2">
      <c r="E4" s="35" t="s">
        <v>245</v>
      </c>
    </row>
    <row r="5" spans="2:12" ht="15" x14ac:dyDescent="0.2">
      <c r="J5" s="26" t="s">
        <v>4</v>
      </c>
    </row>
    <row r="6" spans="2:12" s="13" customFormat="1" ht="15" customHeight="1" x14ac:dyDescent="0.2">
      <c r="B6" s="219" t="s">
        <v>164</v>
      </c>
      <c r="C6" s="222" t="s">
        <v>14</v>
      </c>
      <c r="D6" s="226" t="s">
        <v>299</v>
      </c>
      <c r="E6" s="227"/>
      <c r="F6" s="228"/>
      <c r="G6" s="226" t="s">
        <v>300</v>
      </c>
      <c r="H6" s="228"/>
      <c r="I6" s="226" t="s">
        <v>331</v>
      </c>
      <c r="J6" s="228"/>
    </row>
    <row r="7" spans="2:12" s="13" customFormat="1" ht="45" x14ac:dyDescent="0.2">
      <c r="B7" s="220"/>
      <c r="C7" s="222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195</v>
      </c>
    </row>
    <row r="8" spans="2:12" s="13" customFormat="1" ht="30" x14ac:dyDescent="0.2">
      <c r="B8" s="221"/>
      <c r="C8" s="223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327</v>
      </c>
      <c r="I8" s="15" t="s">
        <v>10</v>
      </c>
      <c r="J8" s="15" t="s">
        <v>327</v>
      </c>
    </row>
    <row r="9" spans="2:12" x14ac:dyDescent="0.2">
      <c r="B9" s="61">
        <v>1</v>
      </c>
      <c r="C9" s="27" t="s">
        <v>246</v>
      </c>
      <c r="D9" s="2"/>
      <c r="E9" s="111"/>
      <c r="F9" s="116"/>
      <c r="G9" s="121"/>
      <c r="H9" s="121"/>
      <c r="I9" s="121"/>
      <c r="J9" s="121"/>
    </row>
    <row r="10" spans="2:12" x14ac:dyDescent="0.2">
      <c r="B10" s="20">
        <f>B9+1</f>
        <v>2</v>
      </c>
      <c r="C10" s="27" t="s">
        <v>247</v>
      </c>
      <c r="D10" s="2"/>
      <c r="E10" s="111"/>
      <c r="F10" s="116"/>
      <c r="G10" s="121"/>
      <c r="H10" s="121"/>
      <c r="I10" s="121"/>
      <c r="J10" s="121"/>
    </row>
    <row r="11" spans="2:12" x14ac:dyDescent="0.2">
      <c r="B11" s="20">
        <f t="shared" ref="B11:B19" si="0">B10+1</f>
        <v>3</v>
      </c>
      <c r="C11" s="29" t="s">
        <v>248</v>
      </c>
      <c r="D11" s="2"/>
      <c r="E11" s="111"/>
      <c r="F11" s="116"/>
      <c r="G11" s="121"/>
      <c r="H11" s="121"/>
      <c r="I11" s="121"/>
      <c r="J11" s="121"/>
    </row>
    <row r="12" spans="2:12" x14ac:dyDescent="0.2">
      <c r="B12" s="20">
        <f t="shared" si="0"/>
        <v>4</v>
      </c>
      <c r="C12" s="65" t="s">
        <v>249</v>
      </c>
      <c r="D12" s="110"/>
      <c r="E12" s="110">
        <f>'F2'!F14/12</f>
        <v>15.760833333333332</v>
      </c>
      <c r="F12" s="129">
        <f>'F2'!G14/12</f>
        <v>15.760833333333332</v>
      </c>
      <c r="G12" s="129"/>
      <c r="H12" s="129">
        <f>'F2'!I14/12</f>
        <v>16.791666666666668</v>
      </c>
      <c r="I12" s="129"/>
      <c r="J12" s="129">
        <f>'F2'!K14/12</f>
        <v>17.525833333333335</v>
      </c>
    </row>
    <row r="13" spans="2:12" s="32" customFormat="1" ht="15" x14ac:dyDescent="0.2">
      <c r="B13" s="20">
        <f t="shared" si="0"/>
        <v>5</v>
      </c>
      <c r="C13" s="37" t="s">
        <v>250</v>
      </c>
      <c r="D13" s="66"/>
      <c r="E13" s="116">
        <f>'F4'!F21*1%</f>
        <v>33.842100000000002</v>
      </c>
      <c r="F13" s="116">
        <f>E13</f>
        <v>33.842100000000002</v>
      </c>
      <c r="G13" s="116"/>
      <c r="H13" s="116">
        <f>'F4'!F43*1%</f>
        <v>34.004300000000001</v>
      </c>
      <c r="I13" s="116"/>
      <c r="J13" s="116">
        <f>'F4'!F43*1%</f>
        <v>34.004300000000001</v>
      </c>
    </row>
    <row r="14" spans="2:12" x14ac:dyDescent="0.2">
      <c r="B14" s="20">
        <f t="shared" si="0"/>
        <v>6</v>
      </c>
      <c r="C14" s="65" t="s">
        <v>292</v>
      </c>
      <c r="D14" s="110"/>
      <c r="E14" s="110">
        <f ca="1">'F1'!G16*45/365</f>
        <v>63.867945205479458</v>
      </c>
      <c r="F14" s="110">
        <f ca="1">'F1'!H16*45/365</f>
        <v>63.867945205479458</v>
      </c>
      <c r="G14" s="110"/>
      <c r="H14" s="110">
        <f ca="1">'F1'!J16*45/365</f>
        <v>64.801232876712319</v>
      </c>
      <c r="I14" s="110"/>
      <c r="J14" s="110">
        <f ca="1">'F1'!L16*45/365</f>
        <v>65.123013698630146</v>
      </c>
      <c r="K14" s="150"/>
    </row>
    <row r="15" spans="2:12" x14ac:dyDescent="0.2">
      <c r="B15" s="20"/>
      <c r="C15" s="65" t="s">
        <v>251</v>
      </c>
      <c r="D15" s="66"/>
      <c r="E15" s="29"/>
      <c r="F15" s="3"/>
      <c r="G15" s="29"/>
      <c r="H15" s="29"/>
      <c r="I15" s="29"/>
      <c r="J15" s="29"/>
    </row>
    <row r="16" spans="2:12" x14ac:dyDescent="0.2">
      <c r="B16" s="20">
        <f>B14+1</f>
        <v>7</v>
      </c>
      <c r="C16" s="27" t="s">
        <v>293</v>
      </c>
      <c r="D16" s="110"/>
      <c r="E16" s="110"/>
      <c r="F16" s="110"/>
      <c r="G16" s="110"/>
      <c r="H16" s="110"/>
      <c r="I16" s="110"/>
      <c r="J16" s="110"/>
      <c r="L16" s="150"/>
    </row>
    <row r="17" spans="2:10" ht="15" x14ac:dyDescent="0.2">
      <c r="B17" s="20">
        <f t="shared" si="0"/>
        <v>8</v>
      </c>
      <c r="C17" s="27" t="s">
        <v>40</v>
      </c>
      <c r="D17" s="108">
        <f>SUM(D9:D14)-D16</f>
        <v>0</v>
      </c>
      <c r="E17" s="108">
        <f t="shared" ref="E17:J17" ca="1" si="1">SUM(E9:E14)-E16</f>
        <v>113.4708785388128</v>
      </c>
      <c r="F17" s="108">
        <f t="shared" ca="1" si="1"/>
        <v>113.4708785388128</v>
      </c>
      <c r="G17" s="108">
        <f t="shared" si="1"/>
        <v>0</v>
      </c>
      <c r="H17" s="108">
        <f t="shared" ca="1" si="1"/>
        <v>115.59719954337899</v>
      </c>
      <c r="I17" s="108">
        <f t="shared" si="1"/>
        <v>0</v>
      </c>
      <c r="J17" s="108">
        <f t="shared" ca="1" si="1"/>
        <v>116.65314703196348</v>
      </c>
    </row>
    <row r="18" spans="2:10" x14ac:dyDescent="0.2">
      <c r="B18" s="20">
        <f t="shared" si="0"/>
        <v>9</v>
      </c>
      <c r="C18" s="27" t="s">
        <v>252</v>
      </c>
      <c r="D18" s="109"/>
      <c r="E18" s="109">
        <v>0.1041</v>
      </c>
      <c r="F18" s="109">
        <f>E18</f>
        <v>0.1041</v>
      </c>
      <c r="G18" s="109">
        <v>0.10249999999999999</v>
      </c>
      <c r="H18" s="109">
        <v>0.10249999999999999</v>
      </c>
      <c r="I18" s="109"/>
      <c r="J18" s="109">
        <v>0.10249999999999999</v>
      </c>
    </row>
    <row r="19" spans="2:10" ht="15" x14ac:dyDescent="0.2">
      <c r="B19" s="20">
        <f t="shared" si="0"/>
        <v>10</v>
      </c>
      <c r="C19" s="65" t="s">
        <v>253</v>
      </c>
      <c r="D19" s="108">
        <v>8.58</v>
      </c>
      <c r="E19" s="108">
        <f ca="1">ROUND(E17*E18,2)</f>
        <v>11.81</v>
      </c>
      <c r="F19" s="108">
        <f ca="1">ROUND(F17*F18,2)</f>
        <v>11.81</v>
      </c>
      <c r="G19" s="108">
        <v>9.25</v>
      </c>
      <c r="H19" s="108">
        <f ca="1">ROUND(H17*H18,2)</f>
        <v>11.85</v>
      </c>
      <c r="I19" s="108">
        <v>9.17</v>
      </c>
      <c r="J19" s="108">
        <f ca="1">ROUND(J17*J18,2)</f>
        <v>11.96</v>
      </c>
    </row>
    <row r="20" spans="2:10" x14ac:dyDescent="0.2">
      <c r="D20" s="137"/>
    </row>
    <row r="21" spans="2:10" x14ac:dyDescent="0.2">
      <c r="C21" s="5" t="s">
        <v>208</v>
      </c>
    </row>
    <row r="22" spans="2:10" x14ac:dyDescent="0.2">
      <c r="C22" s="5" t="s">
        <v>294</v>
      </c>
    </row>
  </sheetData>
  <mergeCells count="7">
    <mergeCell ref="B2:J2"/>
    <mergeCell ref="B3:J3"/>
    <mergeCell ref="G6:H6"/>
    <mergeCell ref="I6:J6"/>
    <mergeCell ref="B6:B8"/>
    <mergeCell ref="C6:C8"/>
    <mergeCell ref="D6:F6"/>
  </mergeCells>
  <pageMargins left="0.27" right="0.25" top="1" bottom="1" header="0.25" footer="0.2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3"/>
  <sheetViews>
    <sheetView showGridLines="0" topLeftCell="A8" zoomScale="96" zoomScaleNormal="96" zoomScaleSheetLayoutView="90" zoomScalePageLayoutView="84" workbookViewId="0">
      <selection activeCell="M23" sqref="M23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2.140625" style="5" customWidth="1"/>
    <col min="10" max="10" width="11.28515625" style="5" customWidth="1"/>
    <col min="11" max="13" width="11.7109375" style="5" bestFit="1" customWidth="1"/>
    <col min="14" max="16384" width="9.28515625" style="5"/>
  </cols>
  <sheetData>
    <row r="1" spans="2:10" ht="15" x14ac:dyDescent="0.2">
      <c r="B1" s="24"/>
    </row>
    <row r="2" spans="2:10" ht="15" x14ac:dyDescent="0.2">
      <c r="D2" s="32" t="s">
        <v>298</v>
      </c>
    </row>
    <row r="3" spans="2:10" ht="15" x14ac:dyDescent="0.2">
      <c r="D3" s="32" t="str">
        <f>'F1'!$F$3</f>
        <v>SLBHES</v>
      </c>
    </row>
    <row r="4" spans="2:10" ht="15" x14ac:dyDescent="0.2">
      <c r="D4" s="35" t="s">
        <v>254</v>
      </c>
    </row>
    <row r="5" spans="2:10" ht="15" x14ac:dyDescent="0.2">
      <c r="J5" s="26" t="s">
        <v>4</v>
      </c>
    </row>
    <row r="6" spans="2:10" s="13" customFormat="1" ht="15" customHeight="1" x14ac:dyDescent="0.2">
      <c r="B6" s="219" t="s">
        <v>164</v>
      </c>
      <c r="C6" s="222" t="s">
        <v>14</v>
      </c>
      <c r="D6" s="226" t="s">
        <v>299</v>
      </c>
      <c r="E6" s="227"/>
      <c r="F6" s="228"/>
      <c r="G6" s="226" t="s">
        <v>300</v>
      </c>
      <c r="H6" s="228"/>
      <c r="I6" s="226" t="s">
        <v>331</v>
      </c>
      <c r="J6" s="228"/>
    </row>
    <row r="7" spans="2:10" s="13" customFormat="1" ht="45" x14ac:dyDescent="0.2">
      <c r="B7" s="220"/>
      <c r="C7" s="222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205</v>
      </c>
    </row>
    <row r="8" spans="2:10" s="13" customFormat="1" ht="30" x14ac:dyDescent="0.2">
      <c r="B8" s="221"/>
      <c r="C8" s="223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327</v>
      </c>
      <c r="I8" s="15" t="s">
        <v>10</v>
      </c>
      <c r="J8" s="15" t="s">
        <v>327</v>
      </c>
    </row>
    <row r="9" spans="2:10" x14ac:dyDescent="0.2">
      <c r="B9" s="61">
        <v>1</v>
      </c>
      <c r="C9" s="27" t="s">
        <v>190</v>
      </c>
      <c r="D9" s="118"/>
      <c r="E9" s="116">
        <f>'F4'!F21*30%</f>
        <v>1015.2629999999999</v>
      </c>
      <c r="F9" s="116">
        <f>E9</f>
        <v>1015.2629999999999</v>
      </c>
      <c r="G9" s="120"/>
      <c r="H9" s="121">
        <f>E13</f>
        <v>1019.3179999999999</v>
      </c>
      <c r="I9" s="120"/>
      <c r="J9" s="121">
        <f>H13</f>
        <v>1019.3179999999999</v>
      </c>
    </row>
    <row r="10" spans="2:10" x14ac:dyDescent="0.2">
      <c r="B10" s="20">
        <f>B9+1</f>
        <v>2</v>
      </c>
      <c r="C10" s="27" t="s">
        <v>191</v>
      </c>
      <c r="D10" s="118"/>
      <c r="E10" s="116">
        <f>'F3'!E12</f>
        <v>16.220000000000002</v>
      </c>
      <c r="F10" s="116">
        <f>'F3'!F12</f>
        <v>16.220000000000002</v>
      </c>
      <c r="G10" s="116">
        <f>'F3'!G12</f>
        <v>0</v>
      </c>
      <c r="H10" s="116">
        <f>'F3'!H12</f>
        <v>0</v>
      </c>
      <c r="I10" s="116">
        <f>'F3'!I12</f>
        <v>0</v>
      </c>
      <c r="J10" s="116">
        <f>'F3'!J12</f>
        <v>0</v>
      </c>
    </row>
    <row r="11" spans="2:10" x14ac:dyDescent="0.2">
      <c r="B11" s="20">
        <f t="shared" ref="B11:B21" si="0">B10+1</f>
        <v>3</v>
      </c>
      <c r="C11" s="29" t="s">
        <v>15</v>
      </c>
      <c r="D11" s="119">
        <f>D10*25%</f>
        <v>0</v>
      </c>
      <c r="E11" s="119">
        <f>E10*25%</f>
        <v>4.0550000000000006</v>
      </c>
      <c r="F11" s="119">
        <f t="shared" ref="F11:J11" si="1">F10*25%</f>
        <v>4.0550000000000006</v>
      </c>
      <c r="G11" s="119">
        <f t="shared" si="1"/>
        <v>0</v>
      </c>
      <c r="H11" s="119">
        <f t="shared" si="1"/>
        <v>0</v>
      </c>
      <c r="I11" s="119">
        <f t="shared" si="1"/>
        <v>0</v>
      </c>
      <c r="J11" s="119">
        <f t="shared" si="1"/>
        <v>0</v>
      </c>
    </row>
    <row r="12" spans="2:10" ht="28.5" x14ac:dyDescent="0.2">
      <c r="B12" s="20">
        <f t="shared" si="0"/>
        <v>4</v>
      </c>
      <c r="C12" s="65" t="s">
        <v>16</v>
      </c>
      <c r="D12" s="122"/>
      <c r="E12" s="39"/>
      <c r="F12" s="118"/>
      <c r="G12" s="39"/>
      <c r="H12" s="39"/>
      <c r="I12" s="39"/>
      <c r="J12" s="39"/>
    </row>
    <row r="13" spans="2:10" s="32" customFormat="1" ht="15" x14ac:dyDescent="0.2">
      <c r="B13" s="20">
        <f t="shared" si="0"/>
        <v>5</v>
      </c>
      <c r="C13" s="37" t="s">
        <v>17</v>
      </c>
      <c r="D13" s="123">
        <f>D9+D11-D12</f>
        <v>0</v>
      </c>
      <c r="E13" s="123">
        <f t="shared" ref="E13:J13" si="2">E9+E11-E12</f>
        <v>1019.3179999999999</v>
      </c>
      <c r="F13" s="123">
        <f>F9+F11-F12</f>
        <v>1019.3179999999999</v>
      </c>
      <c r="G13" s="123">
        <f t="shared" si="2"/>
        <v>0</v>
      </c>
      <c r="H13" s="123">
        <f t="shared" si="2"/>
        <v>1019.3179999999999</v>
      </c>
      <c r="I13" s="123"/>
      <c r="J13" s="123">
        <f t="shared" si="2"/>
        <v>1019.3179999999999</v>
      </c>
    </row>
    <row r="14" spans="2:10" s="32" customFormat="1" ht="15" x14ac:dyDescent="0.2">
      <c r="B14" s="20"/>
      <c r="C14" s="67" t="s">
        <v>255</v>
      </c>
      <c r="D14" s="66"/>
      <c r="E14" s="29"/>
      <c r="F14" s="3"/>
      <c r="G14" s="29"/>
      <c r="H14" s="29"/>
      <c r="I14" s="29"/>
      <c r="J14" s="29"/>
    </row>
    <row r="15" spans="2:10" s="32" customFormat="1" ht="15" x14ac:dyDescent="0.2">
      <c r="B15" s="20">
        <f>B13+1</f>
        <v>6</v>
      </c>
      <c r="C15" s="37" t="s">
        <v>256</v>
      </c>
      <c r="D15" s="156">
        <v>0.125</v>
      </c>
      <c r="E15" s="156">
        <v>0.16500000000000001</v>
      </c>
      <c r="F15" s="156">
        <v>0.16500000000000001</v>
      </c>
      <c r="G15" s="156">
        <v>0.16500000000000001</v>
      </c>
      <c r="H15" s="156">
        <v>0.16500000000000001</v>
      </c>
      <c r="I15" s="156">
        <v>0.16500000000000001</v>
      </c>
      <c r="J15" s="156">
        <v>0.16500000000000001</v>
      </c>
    </row>
    <row r="16" spans="2:10" s="32" customFormat="1" ht="15" x14ac:dyDescent="0.2">
      <c r="B16" s="20">
        <f>B15+1</f>
        <v>7</v>
      </c>
      <c r="C16" s="37" t="s">
        <v>257</v>
      </c>
      <c r="D16" s="157">
        <v>0.25168000000000001</v>
      </c>
      <c r="E16" s="157">
        <v>0.25168000000000001</v>
      </c>
      <c r="F16" s="157">
        <v>0.25168000000000001</v>
      </c>
      <c r="G16" s="157">
        <v>0.25168000000000001</v>
      </c>
      <c r="H16" s="157">
        <v>0.25168000000000001</v>
      </c>
      <c r="I16" s="157">
        <v>0.25168000000000001</v>
      </c>
      <c r="J16" s="157">
        <v>0.25168000000000001</v>
      </c>
    </row>
    <row r="17" spans="2:10" s="32" customFormat="1" ht="15" x14ac:dyDescent="0.2">
      <c r="B17" s="20">
        <f>B16+1</f>
        <v>8</v>
      </c>
      <c r="C17" s="30" t="s">
        <v>255</v>
      </c>
      <c r="D17" s="158">
        <f>D15/(1-D16)</f>
        <v>0.16704083814410947</v>
      </c>
      <c r="E17" s="158">
        <f t="shared" ref="E17:J17" si="3">E15/(1-E16)</f>
        <v>0.22049390635022451</v>
      </c>
      <c r="F17" s="158">
        <f t="shared" si="3"/>
        <v>0.22049390635022451</v>
      </c>
      <c r="G17" s="158">
        <f t="shared" si="3"/>
        <v>0.22049390635022451</v>
      </c>
      <c r="H17" s="158">
        <f t="shared" si="3"/>
        <v>0.22049390635022451</v>
      </c>
      <c r="I17" s="158">
        <f t="shared" si="3"/>
        <v>0.22049390635022451</v>
      </c>
      <c r="J17" s="158">
        <f t="shared" si="3"/>
        <v>0.22049390635022451</v>
      </c>
    </row>
    <row r="18" spans="2:10" ht="15" x14ac:dyDescent="0.2">
      <c r="B18" s="20"/>
      <c r="C18" s="67" t="s">
        <v>154</v>
      </c>
      <c r="D18" s="107"/>
      <c r="E18" s="29"/>
      <c r="F18" s="3"/>
      <c r="G18" s="29"/>
      <c r="H18" s="29"/>
      <c r="I18" s="29"/>
      <c r="J18" s="29"/>
    </row>
    <row r="19" spans="2:10" ht="17.25" customHeight="1" x14ac:dyDescent="0.2">
      <c r="B19" s="20">
        <f>B17+1</f>
        <v>9</v>
      </c>
      <c r="C19" s="65" t="s">
        <v>192</v>
      </c>
      <c r="D19" s="108">
        <f>D9*D17</f>
        <v>0</v>
      </c>
      <c r="E19" s="108">
        <f t="shared" ref="E19:J19" si="4">E9*E17</f>
        <v>223.85930484284796</v>
      </c>
      <c r="F19" s="108">
        <f t="shared" si="4"/>
        <v>223.85930484284796</v>
      </c>
      <c r="G19" s="108">
        <f t="shared" si="4"/>
        <v>0</v>
      </c>
      <c r="H19" s="108">
        <f t="shared" si="4"/>
        <v>224.75340763309811</v>
      </c>
      <c r="I19" s="108"/>
      <c r="J19" s="108">
        <f t="shared" si="4"/>
        <v>224.75340763309811</v>
      </c>
    </row>
    <row r="20" spans="2:10" ht="18.75" customHeight="1" x14ac:dyDescent="0.2">
      <c r="B20" s="20">
        <f t="shared" si="0"/>
        <v>10</v>
      </c>
      <c r="C20" s="65" t="s">
        <v>193</v>
      </c>
      <c r="D20" s="108">
        <f>AVERAGE(D9,D13)*D17-D19</f>
        <v>0</v>
      </c>
      <c r="E20" s="108">
        <f t="shared" ref="E20:J20" si="5">AVERAGE(E9,E13)*E17-E19</f>
        <v>0.4470513951250723</v>
      </c>
      <c r="F20" s="108">
        <f t="shared" si="5"/>
        <v>0.4470513951250723</v>
      </c>
      <c r="G20" s="108">
        <f t="shared" si="5"/>
        <v>0</v>
      </c>
      <c r="H20" s="108">
        <f t="shared" si="5"/>
        <v>0</v>
      </c>
      <c r="I20" s="108"/>
      <c r="J20" s="108">
        <f t="shared" si="5"/>
        <v>0</v>
      </c>
    </row>
    <row r="21" spans="2:10" ht="15" x14ac:dyDescent="0.2">
      <c r="B21" s="20">
        <f t="shared" si="0"/>
        <v>11</v>
      </c>
      <c r="C21" s="38" t="s">
        <v>155</v>
      </c>
      <c r="D21" s="108">
        <v>128.07</v>
      </c>
      <c r="E21" s="108">
        <f>ROUND((E19+E20),2)</f>
        <v>224.31</v>
      </c>
      <c r="F21" s="108">
        <f>ROUND((F19+F20),2)</f>
        <v>224.31</v>
      </c>
      <c r="G21" s="108">
        <v>171.02</v>
      </c>
      <c r="H21" s="108">
        <f>ROUND((H19+H20),2)</f>
        <v>224.75</v>
      </c>
      <c r="I21" s="108">
        <v>171.02</v>
      </c>
      <c r="J21" s="108">
        <f>ROUND((J19+J20),2)</f>
        <v>224.75</v>
      </c>
    </row>
    <row r="22" spans="2:10" x14ac:dyDescent="0.2">
      <c r="C22" s="5" t="s">
        <v>208</v>
      </c>
    </row>
    <row r="23" spans="2:10" x14ac:dyDescent="0.2">
      <c r="C23" s="5" t="s">
        <v>296</v>
      </c>
    </row>
  </sheetData>
  <mergeCells count="5">
    <mergeCell ref="I6:J6"/>
    <mergeCell ref="B6:B8"/>
    <mergeCell ref="C6:C8"/>
    <mergeCell ref="D6:F6"/>
    <mergeCell ref="G6:H6"/>
  </mergeCells>
  <pageMargins left="1.02" right="0.25" top="1" bottom="1" header="0.25" footer="0.25"/>
  <pageSetup paperSize="9" scale="8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9"/>
  <sheetViews>
    <sheetView showGridLines="0" view="pageBreakPreview" topLeftCell="D13" zoomScale="90" zoomScaleNormal="112" zoomScaleSheetLayoutView="90" workbookViewId="0">
      <selection activeCell="J29" sqref="J29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0" width="11.28515625" style="5" customWidth="1"/>
    <col min="11" max="13" width="11.7109375" style="5" bestFit="1" customWidth="1"/>
    <col min="14" max="16384" width="9.28515625" style="5"/>
  </cols>
  <sheetData>
    <row r="2" spans="2:10" ht="15" x14ac:dyDescent="0.2">
      <c r="E2" s="32" t="s">
        <v>298</v>
      </c>
    </row>
    <row r="3" spans="2:10" ht="15" x14ac:dyDescent="0.2">
      <c r="E3" s="32" t="str">
        <f>'F1'!$F$3</f>
        <v>SLBHES</v>
      </c>
    </row>
    <row r="4" spans="2:10" ht="15" x14ac:dyDescent="0.2">
      <c r="B4" s="33"/>
      <c r="C4" s="24"/>
      <c r="D4" s="25"/>
      <c r="E4" s="35" t="s">
        <v>258</v>
      </c>
      <c r="F4" s="25"/>
      <c r="G4" s="25"/>
      <c r="H4" s="25"/>
      <c r="I4" s="25"/>
      <c r="J4" s="25"/>
    </row>
    <row r="5" spans="2:10" ht="15" x14ac:dyDescent="0.2">
      <c r="J5" s="26" t="s">
        <v>4</v>
      </c>
    </row>
    <row r="6" spans="2:10" s="13" customFormat="1" ht="15" customHeight="1" x14ac:dyDescent="0.2">
      <c r="B6" s="219" t="s">
        <v>164</v>
      </c>
      <c r="C6" s="222" t="s">
        <v>14</v>
      </c>
      <c r="D6" s="226" t="s">
        <v>299</v>
      </c>
      <c r="E6" s="227"/>
      <c r="F6" s="228"/>
      <c r="G6" s="226" t="s">
        <v>300</v>
      </c>
      <c r="H6" s="228"/>
      <c r="I6" s="226" t="s">
        <v>331</v>
      </c>
      <c r="J6" s="228"/>
    </row>
    <row r="7" spans="2:10" s="13" customFormat="1" ht="30" x14ac:dyDescent="0.2">
      <c r="B7" s="220"/>
      <c r="C7" s="222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195</v>
      </c>
    </row>
    <row r="8" spans="2:10" s="13" customFormat="1" ht="15" x14ac:dyDescent="0.2">
      <c r="B8" s="221"/>
      <c r="C8" s="223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5</v>
      </c>
      <c r="I8" s="15" t="s">
        <v>10</v>
      </c>
      <c r="J8" s="15" t="s">
        <v>8</v>
      </c>
    </row>
    <row r="9" spans="2:10" s="13" customFormat="1" ht="15" x14ac:dyDescent="0.2">
      <c r="B9" s="61">
        <v>1</v>
      </c>
      <c r="C9" s="138" t="s">
        <v>304</v>
      </c>
      <c r="D9" s="139"/>
      <c r="E9" s="140">
        <v>6.1808300211491904E-2</v>
      </c>
      <c r="F9" s="140">
        <v>6.1808300211491904E-2</v>
      </c>
      <c r="G9" s="15"/>
      <c r="H9" s="159">
        <v>6.4280632219951575E-2</v>
      </c>
      <c r="I9" s="15"/>
      <c r="J9" s="159">
        <v>6.685185750874964E-2</v>
      </c>
    </row>
    <row r="10" spans="2:10" s="13" customFormat="1" ht="15" x14ac:dyDescent="0.2">
      <c r="B10" s="61">
        <f>B9+1</f>
        <v>2</v>
      </c>
      <c r="C10" s="138" t="s">
        <v>305</v>
      </c>
      <c r="D10" s="139"/>
      <c r="E10" s="140">
        <v>6.0667509679550244E-3</v>
      </c>
      <c r="F10" s="140">
        <v>6.0667509679550244E-3</v>
      </c>
      <c r="G10" s="15"/>
      <c r="H10" s="159">
        <v>6.3094210066732253E-3</v>
      </c>
      <c r="I10" s="15"/>
      <c r="J10" s="159">
        <v>6.5617978469401546E-3</v>
      </c>
    </row>
    <row r="11" spans="2:10" s="13" customFormat="1" ht="15" x14ac:dyDescent="0.2">
      <c r="B11" s="61">
        <f t="shared" ref="B11:B27" si="0">B10+1</f>
        <v>3</v>
      </c>
      <c r="C11" s="138" t="s">
        <v>306</v>
      </c>
      <c r="D11" s="139"/>
      <c r="E11" s="140">
        <v>1.6981460559872694E-2</v>
      </c>
      <c r="F11" s="140">
        <v>1.6981460559872694E-2</v>
      </c>
      <c r="G11" s="15"/>
      <c r="H11" s="159">
        <v>1.7660718982267603E-2</v>
      </c>
      <c r="I11" s="15"/>
      <c r="J11" s="159">
        <v>1.8367147741558308E-2</v>
      </c>
    </row>
    <row r="12" spans="2:10" s="13" customFormat="1" ht="15" x14ac:dyDescent="0.2">
      <c r="B12" s="61">
        <f t="shared" si="0"/>
        <v>4</v>
      </c>
      <c r="C12" s="138" t="s">
        <v>307</v>
      </c>
      <c r="D12" s="139"/>
      <c r="E12" s="140">
        <v>5.8150628500000003</v>
      </c>
      <c r="F12" s="140">
        <v>5.8150628500000003</v>
      </c>
      <c r="G12" s="15"/>
      <c r="H12" s="159">
        <v>6.0476653640000002</v>
      </c>
      <c r="I12" s="15"/>
      <c r="J12" s="159">
        <v>6.2895719785600006</v>
      </c>
    </row>
    <row r="13" spans="2:10" s="13" customFormat="1" ht="15" x14ac:dyDescent="0.2">
      <c r="B13" s="61">
        <f t="shared" si="0"/>
        <v>5</v>
      </c>
      <c r="C13" s="138" t="s">
        <v>308</v>
      </c>
      <c r="D13" s="140"/>
      <c r="E13" s="140">
        <v>3.9547126335721314E-2</v>
      </c>
      <c r="F13" s="140">
        <v>3.9547126335721314E-2</v>
      </c>
      <c r="G13" s="15"/>
      <c r="H13" s="159">
        <v>4.1129011389150164E-2</v>
      </c>
      <c r="I13" s="15"/>
      <c r="J13" s="159">
        <v>4.2774171844716172E-2</v>
      </c>
    </row>
    <row r="14" spans="2:10" s="13" customFormat="1" ht="15" x14ac:dyDescent="0.2">
      <c r="B14" s="61">
        <f t="shared" si="0"/>
        <v>6</v>
      </c>
      <c r="C14" s="138" t="s">
        <v>309</v>
      </c>
      <c r="D14" s="140"/>
      <c r="E14" s="140">
        <v>8.3880843843799638E-2</v>
      </c>
      <c r="F14" s="140">
        <v>8.3880843843799638E-2</v>
      </c>
      <c r="G14" s="15"/>
      <c r="H14" s="159">
        <v>8.7236077597551615E-2</v>
      </c>
      <c r="I14" s="15"/>
      <c r="J14" s="159">
        <v>9.0725520701453677E-2</v>
      </c>
    </row>
    <row r="15" spans="2:10" s="13" customFormat="1" ht="15" x14ac:dyDescent="0.2">
      <c r="B15" s="61">
        <f t="shared" si="0"/>
        <v>7</v>
      </c>
      <c r="C15" s="138" t="s">
        <v>310</v>
      </c>
      <c r="D15" s="140"/>
      <c r="E15" s="140">
        <v>7.4551099999999995E-2</v>
      </c>
      <c r="F15" s="140">
        <v>7.4551099999999995E-2</v>
      </c>
      <c r="G15" s="15"/>
      <c r="H15" s="159">
        <v>7.7533143999999998E-2</v>
      </c>
      <c r="I15" s="15"/>
      <c r="J15" s="159">
        <v>8.0634469760000008E-2</v>
      </c>
    </row>
    <row r="16" spans="2:10" s="13" customFormat="1" ht="15" x14ac:dyDescent="0.2">
      <c r="B16" s="61">
        <f t="shared" si="0"/>
        <v>8</v>
      </c>
      <c r="C16" s="138" t="s">
        <v>311</v>
      </c>
      <c r="D16" s="140"/>
      <c r="E16" s="140">
        <v>0.28310084852155504</v>
      </c>
      <c r="F16" s="140">
        <v>0.28310084852155504</v>
      </c>
      <c r="G16" s="15"/>
      <c r="H16" s="159">
        <v>0.29442488246241727</v>
      </c>
      <c r="I16" s="15"/>
      <c r="J16" s="159">
        <v>0.30620187776091395</v>
      </c>
    </row>
    <row r="17" spans="2:10" s="13" customFormat="1" ht="15" x14ac:dyDescent="0.2">
      <c r="B17" s="61">
        <f t="shared" si="0"/>
        <v>9</v>
      </c>
      <c r="C17" s="138" t="s">
        <v>312</v>
      </c>
      <c r="D17" s="140"/>
      <c r="E17" s="140">
        <v>0</v>
      </c>
      <c r="F17" s="140">
        <v>0</v>
      </c>
      <c r="G17" s="15"/>
      <c r="H17" s="159">
        <v>0</v>
      </c>
      <c r="I17" s="15"/>
      <c r="J17" s="159">
        <v>0</v>
      </c>
    </row>
    <row r="18" spans="2:10" s="13" customFormat="1" ht="15" x14ac:dyDescent="0.2">
      <c r="B18" s="61">
        <f t="shared" si="0"/>
        <v>10</v>
      </c>
      <c r="C18" s="138" t="s">
        <v>313</v>
      </c>
      <c r="D18" s="140"/>
      <c r="E18" s="140">
        <v>0</v>
      </c>
      <c r="F18" s="140">
        <v>0</v>
      </c>
      <c r="G18" s="15"/>
      <c r="H18" s="159">
        <v>0</v>
      </c>
      <c r="I18" s="15"/>
      <c r="J18" s="159">
        <v>0</v>
      </c>
    </row>
    <row r="19" spans="2:10" s="13" customFormat="1" ht="15" x14ac:dyDescent="0.2">
      <c r="B19" s="61">
        <f t="shared" si="0"/>
        <v>11</v>
      </c>
      <c r="C19" s="138" t="s">
        <v>314</v>
      </c>
      <c r="D19" s="140"/>
      <c r="E19" s="140">
        <v>0.27855590699999999</v>
      </c>
      <c r="F19" s="140">
        <v>0.27855590699999999</v>
      </c>
      <c r="G19" s="15"/>
      <c r="H19" s="159">
        <v>0.28969814327999999</v>
      </c>
      <c r="I19" s="15"/>
      <c r="J19" s="159">
        <v>0.30128606901119998</v>
      </c>
    </row>
    <row r="20" spans="2:10" s="13" customFormat="1" ht="15" x14ac:dyDescent="0.2">
      <c r="B20" s="61">
        <f t="shared" si="0"/>
        <v>12</v>
      </c>
      <c r="C20" s="138" t="s">
        <v>315</v>
      </c>
      <c r="D20" s="140"/>
      <c r="E20" s="140">
        <v>0</v>
      </c>
      <c r="F20" s="140">
        <v>0</v>
      </c>
      <c r="G20" s="15"/>
      <c r="H20" s="159">
        <v>0</v>
      </c>
      <c r="I20" s="15"/>
      <c r="J20" s="159">
        <v>0</v>
      </c>
    </row>
    <row r="21" spans="2:10" x14ac:dyDescent="0.2">
      <c r="B21" s="61">
        <f t="shared" si="0"/>
        <v>13</v>
      </c>
      <c r="C21" s="138" t="s">
        <v>316</v>
      </c>
      <c r="D21" s="140"/>
      <c r="E21" s="140">
        <v>2.9281745064962698E-3</v>
      </c>
      <c r="F21" s="140">
        <v>2.9281745064962698E-3</v>
      </c>
      <c r="G21" s="21"/>
      <c r="H21" s="121">
        <v>3.0453014867561209E-3</v>
      </c>
      <c r="I21" s="21"/>
      <c r="J21" s="121">
        <v>3.1671135462263658E-3</v>
      </c>
    </row>
    <row r="22" spans="2:10" x14ac:dyDescent="0.2">
      <c r="B22" s="61">
        <f t="shared" si="0"/>
        <v>14</v>
      </c>
      <c r="C22" s="138" t="s">
        <v>317</v>
      </c>
      <c r="D22" s="140"/>
      <c r="E22" s="140">
        <v>0.16513749133319866</v>
      </c>
      <c r="F22" s="140">
        <v>0.16513749133319866</v>
      </c>
      <c r="G22" s="21"/>
      <c r="H22" s="121">
        <v>0.17174299098652662</v>
      </c>
      <c r="I22" s="21"/>
      <c r="J22" s="121">
        <v>0.17861271062598769</v>
      </c>
    </row>
    <row r="23" spans="2:10" x14ac:dyDescent="0.2">
      <c r="B23" s="61">
        <f t="shared" si="0"/>
        <v>15</v>
      </c>
      <c r="C23" s="138" t="s">
        <v>318</v>
      </c>
      <c r="D23" s="140"/>
      <c r="E23" s="140">
        <v>0.12824738160804036</v>
      </c>
      <c r="F23" s="140">
        <v>0.12824738160804036</v>
      </c>
      <c r="G23" s="21"/>
      <c r="H23" s="121">
        <v>0.13337727687236201</v>
      </c>
      <c r="I23" s="21"/>
      <c r="J23" s="121">
        <v>0.1387123679472565</v>
      </c>
    </row>
    <row r="24" spans="2:10" x14ac:dyDescent="0.2">
      <c r="B24" s="61">
        <f t="shared" si="0"/>
        <v>16</v>
      </c>
      <c r="C24" s="138" t="s">
        <v>319</v>
      </c>
      <c r="D24" s="140"/>
      <c r="E24" s="140">
        <v>7.7108407345272195E-3</v>
      </c>
      <c r="F24" s="140">
        <v>7.7108407345272195E-3</v>
      </c>
      <c r="G24" s="21"/>
      <c r="H24" s="121">
        <v>8.0192743639083078E-3</v>
      </c>
      <c r="I24" s="21"/>
      <c r="J24" s="121">
        <v>8.3400453384646408E-3</v>
      </c>
    </row>
    <row r="25" spans="2:10" ht="15.75" customHeight="1" x14ac:dyDescent="0.2">
      <c r="B25" s="61">
        <f t="shared" si="0"/>
        <v>17</v>
      </c>
      <c r="C25" s="138" t="s">
        <v>320</v>
      </c>
      <c r="D25" s="141">
        <f>SUM(D9:D20)</f>
        <v>0</v>
      </c>
      <c r="E25" s="140">
        <v>0.41554783240503235</v>
      </c>
      <c r="F25" s="140">
        <v>0.41554783240503235</v>
      </c>
      <c r="G25" s="29"/>
      <c r="H25" s="116">
        <v>0.43216974570123373</v>
      </c>
      <c r="I25" s="29"/>
      <c r="J25" s="116">
        <v>0.44945653552928311</v>
      </c>
    </row>
    <row r="26" spans="2:10" s="32" customFormat="1" ht="15" x14ac:dyDescent="0.2">
      <c r="B26" s="61">
        <f t="shared" si="0"/>
        <v>18</v>
      </c>
      <c r="C26" s="138" t="s">
        <v>321</v>
      </c>
      <c r="D26" s="141"/>
      <c r="E26" s="140">
        <v>3.5401578175740063E-4</v>
      </c>
      <c r="F26" s="140">
        <v>3.5401578175740063E-4</v>
      </c>
      <c r="G26" s="29"/>
      <c r="H26" s="116">
        <v>2.2622721324295401E-2</v>
      </c>
      <c r="I26" s="29"/>
      <c r="J26" s="116">
        <v>2.3527630177267219E-2</v>
      </c>
    </row>
    <row r="27" spans="2:10" s="32" customFormat="1" ht="15" x14ac:dyDescent="0.2">
      <c r="B27" s="61">
        <f t="shared" si="0"/>
        <v>19</v>
      </c>
      <c r="C27" s="138" t="s">
        <v>322</v>
      </c>
      <c r="D27" s="141"/>
      <c r="E27" s="140">
        <v>8.9999999999999998E-4</v>
      </c>
      <c r="F27" s="140">
        <v>8.9999999999999998E-4</v>
      </c>
      <c r="G27" s="29"/>
      <c r="H27" s="116">
        <v>1.5249704728877485E-3</v>
      </c>
      <c r="I27" s="29"/>
      <c r="J27" s="116">
        <v>1.5859692918032586E-3</v>
      </c>
    </row>
    <row r="28" spans="2:10" x14ac:dyDescent="0.2">
      <c r="B28" s="20"/>
      <c r="C28" s="65"/>
      <c r="D28" s="66"/>
      <c r="E28" s="29"/>
      <c r="F28" s="29"/>
      <c r="G28" s="39"/>
      <c r="H28" s="39"/>
      <c r="I28" s="39"/>
      <c r="J28" s="39"/>
    </row>
    <row r="29" spans="2:10" ht="15" x14ac:dyDescent="0.2">
      <c r="B29" s="20"/>
      <c r="C29" s="31" t="s">
        <v>123</v>
      </c>
      <c r="D29" s="108">
        <v>2.81</v>
      </c>
      <c r="E29" s="108">
        <f>ROUND(SUM(E9:E27),2)</f>
        <v>7.38</v>
      </c>
      <c r="F29" s="108">
        <f>ROUND(SUM(F9:F27),2)</f>
        <v>7.38</v>
      </c>
      <c r="G29" s="108">
        <v>2.92</v>
      </c>
      <c r="H29" s="108">
        <f>ROUND(SUM(H9:H27),2)</f>
        <v>7.7</v>
      </c>
      <c r="I29" s="108">
        <v>3.04</v>
      </c>
      <c r="J29" s="108">
        <f>ROUND(SUM(J9:J27),2)</f>
        <v>8.01</v>
      </c>
    </row>
  </sheetData>
  <mergeCells count="5">
    <mergeCell ref="I6:J6"/>
    <mergeCell ref="B6:B8"/>
    <mergeCell ref="C6:C8"/>
    <mergeCell ref="D6:F6"/>
    <mergeCell ref="G6:H6"/>
  </mergeCells>
  <pageMargins left="0.27" right="0.25" top="0.2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1"/>
  <sheetViews>
    <sheetView showGridLines="0" view="pageBreakPreview" zoomScaleNormal="93" zoomScaleSheetLayoutView="100" workbookViewId="0">
      <selection activeCell="D3" sqref="D3"/>
    </sheetView>
  </sheetViews>
  <sheetFormatPr defaultColWidth="9.28515625" defaultRowHeight="14.25" x14ac:dyDescent="0.2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6" width="15.7109375" style="5" customWidth="1"/>
    <col min="7" max="16384" width="9.28515625" style="5"/>
  </cols>
  <sheetData>
    <row r="2" spans="2:6" ht="15" x14ac:dyDescent="0.2">
      <c r="B2" s="229" t="s">
        <v>298</v>
      </c>
      <c r="C2" s="229"/>
      <c r="D2" s="229"/>
      <c r="E2" s="229"/>
      <c r="F2" s="229"/>
    </row>
    <row r="3" spans="2:6" ht="15" x14ac:dyDescent="0.2">
      <c r="B3" s="35"/>
      <c r="C3" s="35"/>
      <c r="D3" s="35" t="str">
        <f>'F1'!$F$3</f>
        <v>SLBHES</v>
      </c>
      <c r="E3" s="35"/>
      <c r="F3" s="35"/>
    </row>
    <row r="4" spans="2:6" ht="14.25" customHeight="1" x14ac:dyDescent="0.2">
      <c r="B4" s="229" t="s">
        <v>260</v>
      </c>
      <c r="C4" s="229"/>
      <c r="D4" s="229"/>
      <c r="E4" s="229"/>
      <c r="F4" s="229"/>
    </row>
    <row r="5" spans="2:6" ht="15" x14ac:dyDescent="0.2">
      <c r="B5" s="24"/>
      <c r="C5" s="69"/>
      <c r="D5" s="70"/>
    </row>
    <row r="6" spans="2:6" ht="15" customHeight="1" x14ac:dyDescent="0.2">
      <c r="B6" s="231" t="s">
        <v>2</v>
      </c>
      <c r="C6" s="236" t="s">
        <v>14</v>
      </c>
      <c r="D6" s="125" t="s">
        <v>299</v>
      </c>
      <c r="E6" s="23" t="s">
        <v>300</v>
      </c>
      <c r="F6" s="23" t="s">
        <v>331</v>
      </c>
    </row>
    <row r="7" spans="2:6" ht="15" x14ac:dyDescent="0.2">
      <c r="B7" s="231"/>
      <c r="C7" s="236"/>
      <c r="D7" s="15" t="s">
        <v>259</v>
      </c>
      <c r="E7" s="15" t="s">
        <v>205</v>
      </c>
      <c r="F7" s="15" t="s">
        <v>205</v>
      </c>
    </row>
    <row r="8" spans="2:6" ht="24.75" customHeight="1" x14ac:dyDescent="0.2">
      <c r="B8" s="247"/>
      <c r="C8" s="248"/>
      <c r="D8" s="15" t="s">
        <v>3</v>
      </c>
      <c r="E8" s="15" t="s">
        <v>5</v>
      </c>
      <c r="F8" s="15" t="s">
        <v>8</v>
      </c>
    </row>
    <row r="9" spans="2:6" ht="15" x14ac:dyDescent="0.2">
      <c r="B9" s="71">
        <v>1</v>
      </c>
      <c r="C9" s="72" t="s">
        <v>142</v>
      </c>
      <c r="D9" s="68"/>
      <c r="E9" s="68"/>
      <c r="F9" s="27"/>
    </row>
    <row r="10" spans="2:6" s="32" customFormat="1" ht="15" x14ac:dyDescent="0.2">
      <c r="B10" s="73" t="s">
        <v>41</v>
      </c>
      <c r="C10" s="38" t="s">
        <v>42</v>
      </c>
      <c r="D10" s="74"/>
      <c r="E10" s="38"/>
      <c r="F10" s="38"/>
    </row>
    <row r="11" spans="2:6" s="32" customFormat="1" ht="15" x14ac:dyDescent="0.2">
      <c r="B11" s="75"/>
      <c r="C11" s="29" t="s">
        <v>43</v>
      </c>
      <c r="D11" s="74"/>
      <c r="E11" s="38"/>
      <c r="F11" s="38"/>
    </row>
    <row r="12" spans="2:6" s="32" customFormat="1" ht="15" x14ac:dyDescent="0.2">
      <c r="B12" s="75"/>
      <c r="C12" s="29" t="s">
        <v>44</v>
      </c>
      <c r="D12" s="74"/>
      <c r="E12" s="38"/>
      <c r="F12" s="38"/>
    </row>
    <row r="13" spans="2:6" s="32" customFormat="1" ht="15" x14ac:dyDescent="0.2">
      <c r="B13" s="75"/>
      <c r="C13" s="29" t="s">
        <v>45</v>
      </c>
      <c r="D13" s="74" t="s">
        <v>328</v>
      </c>
      <c r="E13" s="38"/>
      <c r="F13" s="38"/>
    </row>
    <row r="14" spans="2:6" s="32" customFormat="1" ht="15" x14ac:dyDescent="0.2">
      <c r="B14" s="75"/>
      <c r="C14" s="76"/>
      <c r="D14" s="74"/>
      <c r="E14" s="38"/>
      <c r="F14" s="38"/>
    </row>
    <row r="15" spans="2:6" s="32" customFormat="1" ht="15" x14ac:dyDescent="0.2">
      <c r="B15" s="73" t="s">
        <v>46</v>
      </c>
      <c r="C15" s="77" t="s">
        <v>47</v>
      </c>
      <c r="D15" s="74"/>
      <c r="E15" s="38"/>
      <c r="F15" s="38"/>
    </row>
    <row r="16" spans="2:6" s="32" customFormat="1" ht="15" x14ac:dyDescent="0.2">
      <c r="B16" s="75"/>
      <c r="C16" s="29" t="s">
        <v>43</v>
      </c>
      <c r="D16" s="74"/>
      <c r="E16" s="38"/>
      <c r="F16" s="38"/>
    </row>
    <row r="17" spans="2:6" x14ac:dyDescent="0.2">
      <c r="B17" s="75"/>
      <c r="C17" s="29" t="s">
        <v>44</v>
      </c>
      <c r="D17" s="74"/>
      <c r="E17" s="27"/>
      <c r="F17" s="27"/>
    </row>
    <row r="18" spans="2:6" x14ac:dyDescent="0.2">
      <c r="B18" s="78"/>
      <c r="C18" s="29" t="s">
        <v>48</v>
      </c>
      <c r="D18" s="74"/>
      <c r="E18" s="27"/>
      <c r="F18" s="27"/>
    </row>
    <row r="19" spans="2:6" ht="15" x14ac:dyDescent="0.2">
      <c r="B19" s="78"/>
      <c r="C19" s="77"/>
      <c r="D19" s="74"/>
      <c r="E19" s="27"/>
      <c r="F19" s="27"/>
    </row>
    <row r="20" spans="2:6" ht="17.25" customHeight="1" x14ac:dyDescent="0.2">
      <c r="B20" s="73">
        <v>2</v>
      </c>
      <c r="C20" s="72" t="s">
        <v>143</v>
      </c>
      <c r="D20" s="74"/>
      <c r="E20" s="27"/>
      <c r="F20" s="27"/>
    </row>
    <row r="21" spans="2:6" ht="17.25" customHeight="1" x14ac:dyDescent="0.2">
      <c r="B21" s="73"/>
      <c r="C21" s="72" t="s">
        <v>49</v>
      </c>
      <c r="D21" s="74"/>
      <c r="E21" s="27"/>
      <c r="F21" s="27"/>
    </row>
    <row r="22" spans="2:6" ht="17.25" customHeight="1" x14ac:dyDescent="0.2">
      <c r="B22" s="73"/>
      <c r="C22" s="72" t="s">
        <v>49</v>
      </c>
      <c r="D22" s="74"/>
      <c r="E22" s="27"/>
      <c r="F22" s="27"/>
    </row>
    <row r="23" spans="2:6" ht="15" x14ac:dyDescent="0.2">
      <c r="B23" s="75"/>
      <c r="C23" s="77" t="s">
        <v>50</v>
      </c>
      <c r="D23" s="74"/>
      <c r="E23" s="27"/>
      <c r="F23" s="27"/>
    </row>
    <row r="25" spans="2:6" ht="15" x14ac:dyDescent="0.2">
      <c r="B25" s="79" t="s">
        <v>39</v>
      </c>
      <c r="C25" s="80"/>
      <c r="D25" s="80"/>
      <c r="E25" s="80"/>
    </row>
    <row r="26" spans="2:6" x14ac:dyDescent="0.2">
      <c r="B26" s="5" t="s">
        <v>179</v>
      </c>
      <c r="D26" s="81"/>
      <c r="E26" s="80"/>
    </row>
    <row r="27" spans="2:6" ht="18" customHeight="1" x14ac:dyDescent="0.2">
      <c r="B27" s="80"/>
      <c r="E27" s="80"/>
    </row>
    <row r="28" spans="2:6" x14ac:dyDescent="0.2">
      <c r="B28" s="80"/>
      <c r="C28" s="80"/>
      <c r="D28" s="80"/>
      <c r="E28" s="80"/>
    </row>
    <row r="29" spans="2:6" x14ac:dyDescent="0.2">
      <c r="B29" s="80"/>
      <c r="C29" s="80"/>
      <c r="D29" s="80"/>
      <c r="E29" s="80"/>
    </row>
    <row r="30" spans="2:6" x14ac:dyDescent="0.2">
      <c r="B30" s="80"/>
      <c r="C30" s="80"/>
      <c r="D30" s="80"/>
      <c r="E30" s="80"/>
    </row>
    <row r="31" spans="2:6" x14ac:dyDescent="0.2">
      <c r="B31" s="80"/>
      <c r="C31" s="80"/>
      <c r="D31" s="80"/>
      <c r="E31" s="80"/>
    </row>
  </sheetData>
  <mergeCells count="4">
    <mergeCell ref="B6:B8"/>
    <mergeCell ref="C6:C8"/>
    <mergeCell ref="B4:F4"/>
    <mergeCell ref="B2:F2"/>
  </mergeCells>
  <pageMargins left="0.75" right="0.75" top="1" bottom="1" header="0.5" footer="0.5"/>
  <pageSetup paperSize="9" scale="9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view="pageBreakPreview" topLeftCell="A11" zoomScale="81" zoomScaleNormal="93" zoomScaleSheetLayoutView="81" workbookViewId="0">
      <selection activeCell="R21" sqref="R21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1:17" ht="15" x14ac:dyDescent="0.2">
      <c r="B1" s="88"/>
    </row>
    <row r="2" spans="1:17" ht="15" x14ac:dyDescent="0.2">
      <c r="I2" s="32" t="s">
        <v>298</v>
      </c>
    </row>
    <row r="3" spans="1:17" ht="15" x14ac:dyDescent="0.2">
      <c r="I3" s="32" t="s">
        <v>333</v>
      </c>
    </row>
    <row r="4" spans="1:17" ht="15" x14ac:dyDescent="0.2">
      <c r="C4" s="69"/>
      <c r="D4" s="69"/>
      <c r="E4" s="69"/>
      <c r="F4" s="69"/>
      <c r="G4" s="69"/>
      <c r="H4" s="69"/>
      <c r="I4" s="35" t="s">
        <v>266</v>
      </c>
    </row>
    <row r="5" spans="1:17" ht="16.5" x14ac:dyDescent="0.2">
      <c r="B5" s="24"/>
      <c r="C5" s="69"/>
      <c r="D5" s="69"/>
      <c r="E5" s="69"/>
      <c r="F5" s="69"/>
      <c r="G5" s="69"/>
      <c r="H5" s="69"/>
      <c r="I5" s="82"/>
    </row>
    <row r="6" spans="1:17" ht="16.5" x14ac:dyDescent="0.2">
      <c r="B6" s="24" t="s">
        <v>299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35"/>
      <c r="P6" s="82"/>
    </row>
    <row r="7" spans="1:17" ht="16.5" x14ac:dyDescent="0.2">
      <c r="A7" s="5" t="s">
        <v>265</v>
      </c>
      <c r="B7" s="24" t="s">
        <v>5</v>
      </c>
      <c r="C7" s="25"/>
      <c r="D7" s="25"/>
      <c r="O7" s="25" t="s">
        <v>124</v>
      </c>
      <c r="P7" s="82"/>
    </row>
    <row r="8" spans="1:17" ht="18.75" customHeight="1" x14ac:dyDescent="0.2">
      <c r="B8" s="232" t="s">
        <v>267</v>
      </c>
      <c r="C8" s="249" t="s">
        <v>137</v>
      </c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6"/>
      <c r="O8" s="164" t="s">
        <v>138</v>
      </c>
      <c r="P8" s="82"/>
      <c r="Q8" s="82"/>
    </row>
    <row r="9" spans="1:17" ht="15" x14ac:dyDescent="0.2">
      <c r="B9" s="234"/>
      <c r="C9" s="164" t="s">
        <v>125</v>
      </c>
      <c r="D9" s="164" t="s">
        <v>126</v>
      </c>
      <c r="E9" s="165" t="s">
        <v>127</v>
      </c>
      <c r="F9" s="165" t="s">
        <v>128</v>
      </c>
      <c r="G9" s="165" t="s">
        <v>129</v>
      </c>
      <c r="H9" s="165" t="s">
        <v>130</v>
      </c>
      <c r="I9" s="165" t="s">
        <v>131</v>
      </c>
      <c r="J9" s="165" t="s">
        <v>132</v>
      </c>
      <c r="K9" s="165" t="s">
        <v>133</v>
      </c>
      <c r="L9" s="165" t="s">
        <v>134</v>
      </c>
      <c r="M9" s="165" t="s">
        <v>135</v>
      </c>
      <c r="N9" s="165" t="s">
        <v>136</v>
      </c>
      <c r="O9" s="166"/>
    </row>
    <row r="10" spans="1:17" s="32" customFormat="1" ht="15" x14ac:dyDescent="0.2">
      <c r="B10" s="146" t="s">
        <v>344</v>
      </c>
      <c r="C10" s="167">
        <f>-0.6*0.7055</f>
        <v>-0.42330000000000001</v>
      </c>
      <c r="D10" s="167">
        <f>-0.65*0.7055</f>
        <v>-0.45857500000000001</v>
      </c>
      <c r="E10" s="167">
        <f>-0.63*0.7055</f>
        <v>-0.444465</v>
      </c>
      <c r="F10" s="167">
        <f>139.86*0.70555555</f>
        <v>98.678999223000019</v>
      </c>
      <c r="G10" s="167">
        <f>521.3*0.7055</f>
        <v>367.77714999999995</v>
      </c>
      <c r="H10" s="167">
        <f>482.41*0.7055</f>
        <v>340.34025500000001</v>
      </c>
      <c r="I10" s="167">
        <f>483.37*0.7055</f>
        <v>341.01753500000001</v>
      </c>
      <c r="J10" s="167">
        <f>273.84*0.7055</f>
        <v>193.19412</v>
      </c>
      <c r="K10" s="167">
        <f>76.85*0.7055</f>
        <v>54.217675</v>
      </c>
      <c r="L10" s="167">
        <f>58.63*0.7055</f>
        <v>41.363465000000005</v>
      </c>
      <c r="M10" s="167">
        <f>17.17*0.7055</f>
        <v>12.113435000000001</v>
      </c>
      <c r="N10" s="167">
        <f>138.46*0.7055</f>
        <v>97.683530000000005</v>
      </c>
      <c r="O10" s="145">
        <f>SUM(C10:N10)</f>
        <v>1545.0598242230001</v>
      </c>
    </row>
    <row r="11" spans="1:17" s="32" customFormat="1" ht="15" x14ac:dyDescent="0.2">
      <c r="B11" s="146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45"/>
    </row>
    <row r="12" spans="1:17" s="32" customFormat="1" ht="15" x14ac:dyDescent="0.2">
      <c r="B12" s="146" t="s">
        <v>345</v>
      </c>
      <c r="C12" s="167">
        <f>-0.6*0.2945</f>
        <v>-0.1767</v>
      </c>
      <c r="D12" s="167">
        <f>-0.65*0.2945</f>
        <v>-0.19142499999999998</v>
      </c>
      <c r="E12" s="167">
        <f>-0.63*0.2945</f>
        <v>-0.18553499999999998</v>
      </c>
      <c r="F12" s="167">
        <f>139.86*0.2945</f>
        <v>41.188770000000005</v>
      </c>
      <c r="G12" s="167">
        <f>521.3*0.2945</f>
        <v>153.52284999999998</v>
      </c>
      <c r="H12" s="167">
        <f>482.41*0.2945</f>
        <v>142.06974500000001</v>
      </c>
      <c r="I12" s="167">
        <f>483.37*0.2945</f>
        <v>142.352465</v>
      </c>
      <c r="J12" s="167">
        <f>273.84*0.2945</f>
        <v>80.645879999999991</v>
      </c>
      <c r="K12" s="167">
        <f>76.85*0.2945</f>
        <v>22.632324999999998</v>
      </c>
      <c r="L12" s="167">
        <f>58.63*0.2945</f>
        <v>17.266535000000001</v>
      </c>
      <c r="M12" s="167">
        <f>17.17*0.2945</f>
        <v>5.056565</v>
      </c>
      <c r="N12" s="167">
        <f>138.46*0.2945</f>
        <v>40.776470000000003</v>
      </c>
      <c r="O12" s="145">
        <f>SUM(C12:N12)</f>
        <v>644.957945</v>
      </c>
    </row>
    <row r="13" spans="1:17" s="32" customFormat="1" ht="15" x14ac:dyDescent="0.2">
      <c r="B13" s="168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</row>
    <row r="14" spans="1:17" ht="15" x14ac:dyDescent="0.2">
      <c r="B14" s="169" t="s">
        <v>123</v>
      </c>
      <c r="C14" s="170">
        <f>C10+C12</f>
        <v>-0.6</v>
      </c>
      <c r="D14" s="170">
        <f t="shared" ref="D14:N14" si="0">D10+D12</f>
        <v>-0.65</v>
      </c>
      <c r="E14" s="170">
        <f t="shared" si="0"/>
        <v>-0.63</v>
      </c>
      <c r="F14" s="170">
        <f t="shared" si="0"/>
        <v>139.86776922300004</v>
      </c>
      <c r="G14" s="170">
        <f t="shared" si="0"/>
        <v>521.29999999999995</v>
      </c>
      <c r="H14" s="170">
        <f>H10+H12</f>
        <v>482.41</v>
      </c>
      <c r="I14" s="170">
        <f t="shared" si="0"/>
        <v>483.37</v>
      </c>
      <c r="J14" s="170">
        <f t="shared" si="0"/>
        <v>273.83999999999997</v>
      </c>
      <c r="K14" s="170">
        <f t="shared" si="0"/>
        <v>76.849999999999994</v>
      </c>
      <c r="L14" s="170">
        <f>L10+L12</f>
        <v>58.63000000000001</v>
      </c>
      <c r="M14" s="170">
        <f t="shared" si="0"/>
        <v>17.170000000000002</v>
      </c>
      <c r="N14" s="170">
        <f t="shared" si="0"/>
        <v>138.46</v>
      </c>
      <c r="O14" s="170">
        <f>O10+O12</f>
        <v>2190.017769223</v>
      </c>
    </row>
    <row r="16" spans="1:17" ht="16.5" x14ac:dyDescent="0.2">
      <c r="B16" s="24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35"/>
      <c r="P16" s="82"/>
    </row>
    <row r="17" spans="2:15" ht="15" x14ac:dyDescent="0.2">
      <c r="B17" s="24" t="s">
        <v>300</v>
      </c>
      <c r="C17" s="69"/>
      <c r="D17" s="69"/>
      <c r="E17" s="69"/>
      <c r="F17" s="69"/>
      <c r="G17" s="69"/>
      <c r="H17" s="69"/>
      <c r="I17" s="35"/>
    </row>
    <row r="18" spans="2:15" ht="15" x14ac:dyDescent="0.2">
      <c r="B18" s="171"/>
      <c r="C18" s="249" t="s">
        <v>137</v>
      </c>
      <c r="D18" s="245"/>
      <c r="E18" s="245"/>
      <c r="F18" s="245"/>
      <c r="G18" s="245"/>
      <c r="H18" s="245"/>
      <c r="I18" s="246"/>
      <c r="J18" s="249" t="s">
        <v>5</v>
      </c>
      <c r="K18" s="245"/>
      <c r="L18" s="245"/>
      <c r="M18" s="245"/>
      <c r="N18" s="246"/>
      <c r="O18" s="172" t="s">
        <v>124</v>
      </c>
    </row>
    <row r="19" spans="2:15" ht="15" x14ac:dyDescent="0.2">
      <c r="B19" s="164" t="s">
        <v>267</v>
      </c>
      <c r="C19" s="164" t="s">
        <v>125</v>
      </c>
      <c r="D19" s="164" t="s">
        <v>126</v>
      </c>
      <c r="E19" s="165" t="s">
        <v>127</v>
      </c>
      <c r="F19" s="165" t="s">
        <v>128</v>
      </c>
      <c r="G19" s="165" t="s">
        <v>129</v>
      </c>
      <c r="H19" s="165" t="s">
        <v>130</v>
      </c>
      <c r="I19" s="165" t="s">
        <v>131</v>
      </c>
      <c r="J19" s="165" t="s">
        <v>132</v>
      </c>
      <c r="K19" s="165" t="s">
        <v>133</v>
      </c>
      <c r="L19" s="165" t="s">
        <v>134</v>
      </c>
      <c r="M19" s="165" t="s">
        <v>135</v>
      </c>
      <c r="N19" s="165" t="s">
        <v>136</v>
      </c>
      <c r="O19" s="165" t="s">
        <v>123</v>
      </c>
    </row>
    <row r="20" spans="2:15" ht="15" x14ac:dyDescent="0.2">
      <c r="B20" s="146" t="s">
        <v>344</v>
      </c>
      <c r="C20" s="167">
        <v>0.79016000000000008</v>
      </c>
      <c r="D20" s="167">
        <v>16.297050000000002</v>
      </c>
      <c r="E20" s="167">
        <v>24.057550000000003</v>
      </c>
      <c r="F20" s="167">
        <v>378.34553999999997</v>
      </c>
      <c r="G20" s="167">
        <v>365.33612000000005</v>
      </c>
      <c r="H20" s="167">
        <v>356.10818</v>
      </c>
      <c r="I20" s="167">
        <v>221.5982809830486</v>
      </c>
      <c r="J20" s="167">
        <v>108.87261688824582</v>
      </c>
      <c r="K20" s="167">
        <v>63.353190137316048</v>
      </c>
      <c r="L20" s="167">
        <v>58.110772421018893</v>
      </c>
      <c r="M20" s="167">
        <v>55.861816621161793</v>
      </c>
      <c r="N20" s="167">
        <v>55.73621191346308</v>
      </c>
      <c r="O20" s="145">
        <f>SUM(C20:N20)</f>
        <v>1704.4674889642542</v>
      </c>
    </row>
    <row r="21" spans="2:15" ht="15" x14ac:dyDescent="0.2">
      <c r="B21" s="146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9"/>
    </row>
    <row r="22" spans="2:15" ht="15" x14ac:dyDescent="0.2">
      <c r="B22" s="146" t="s">
        <v>345</v>
      </c>
      <c r="C22" s="167">
        <v>0.32984000000000002</v>
      </c>
      <c r="D22" s="167">
        <v>6.8029500000000001</v>
      </c>
      <c r="E22" s="167">
        <v>10.042450000000001</v>
      </c>
      <c r="F22" s="167">
        <v>157.93445999999997</v>
      </c>
      <c r="G22" s="167">
        <v>152.50388000000001</v>
      </c>
      <c r="H22" s="167">
        <v>148.65181999999999</v>
      </c>
      <c r="I22" s="167">
        <v>92.502755137502206</v>
      </c>
      <c r="J22" s="167">
        <v>45.447180260224506</v>
      </c>
      <c r="K22" s="167">
        <v>26.445803678865449</v>
      </c>
      <c r="L22" s="167">
        <v>24.257437956045447</v>
      </c>
      <c r="M22" s="167">
        <v>23.31864634292296</v>
      </c>
      <c r="N22" s="167">
        <v>23.266214611644049</v>
      </c>
      <c r="O22" s="145">
        <f>SUM(C22:N22)</f>
        <v>711.50343798720462</v>
      </c>
    </row>
    <row r="23" spans="2:15" x14ac:dyDescent="0.2">
      <c r="B23" s="168"/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</row>
    <row r="24" spans="2:15" ht="15" x14ac:dyDescent="0.2">
      <c r="B24" s="169" t="s">
        <v>123</v>
      </c>
      <c r="C24" s="170">
        <f>C20+C22</f>
        <v>1.1200000000000001</v>
      </c>
      <c r="D24" s="170">
        <f>D20+D22</f>
        <v>23.1</v>
      </c>
      <c r="E24" s="170">
        <f t="shared" ref="E24:N24" si="1">E20+E22</f>
        <v>34.1</v>
      </c>
      <c r="F24" s="170">
        <f t="shared" si="1"/>
        <v>536.28</v>
      </c>
      <c r="G24" s="170">
        <f t="shared" si="1"/>
        <v>517.84</v>
      </c>
      <c r="H24" s="170">
        <f t="shared" si="1"/>
        <v>504.76</v>
      </c>
      <c r="I24" s="170">
        <f t="shared" si="1"/>
        <v>314.10103612055082</v>
      </c>
      <c r="J24" s="170">
        <f t="shared" si="1"/>
        <v>154.31979714847031</v>
      </c>
      <c r="K24" s="170">
        <f>K20+K22</f>
        <v>89.798993816181493</v>
      </c>
      <c r="L24" s="170">
        <f t="shared" si="1"/>
        <v>82.368210377064344</v>
      </c>
      <c r="M24" s="170">
        <f t="shared" si="1"/>
        <v>79.180462964084754</v>
      </c>
      <c r="N24" s="170">
        <f t="shared" si="1"/>
        <v>79.002426525107126</v>
      </c>
      <c r="O24" s="170">
        <f>O20+O22</f>
        <v>2415.9709269514588</v>
      </c>
    </row>
    <row r="26" spans="2:15" ht="15" x14ac:dyDescent="0.2">
      <c r="B26" s="24" t="s">
        <v>331</v>
      </c>
      <c r="C26" s="69"/>
      <c r="D26" s="69"/>
      <c r="E26" s="69"/>
      <c r="F26" s="69"/>
      <c r="G26" s="69"/>
      <c r="H26" s="69"/>
      <c r="I26" s="35"/>
    </row>
    <row r="27" spans="2:15" ht="15" x14ac:dyDescent="0.2">
      <c r="B27" s="24" t="s">
        <v>8</v>
      </c>
      <c r="C27" s="25"/>
      <c r="D27" s="25"/>
      <c r="O27" s="25"/>
    </row>
    <row r="28" spans="2:15" ht="15" x14ac:dyDescent="0.2">
      <c r="B28" s="164" t="s">
        <v>267</v>
      </c>
      <c r="C28" s="164" t="s">
        <v>125</v>
      </c>
      <c r="D28" s="164" t="s">
        <v>126</v>
      </c>
      <c r="E28" s="165" t="s">
        <v>127</v>
      </c>
      <c r="F28" s="165" t="s">
        <v>128</v>
      </c>
      <c r="G28" s="165" t="s">
        <v>129</v>
      </c>
      <c r="H28" s="165" t="s">
        <v>130</v>
      </c>
      <c r="I28" s="165" t="s">
        <v>131</v>
      </c>
      <c r="J28" s="165" t="s">
        <v>132</v>
      </c>
      <c r="K28" s="165" t="s">
        <v>133</v>
      </c>
      <c r="L28" s="165" t="s">
        <v>134</v>
      </c>
      <c r="M28" s="165" t="s">
        <v>135</v>
      </c>
      <c r="N28" s="165" t="s">
        <v>136</v>
      </c>
      <c r="O28" s="165" t="s">
        <v>123</v>
      </c>
    </row>
    <row r="29" spans="2:15" ht="15" x14ac:dyDescent="0.2">
      <c r="B29" s="146" t="s">
        <v>344</v>
      </c>
      <c r="C29" s="167">
        <v>12.020651779598627</v>
      </c>
      <c r="D29" s="167">
        <v>7.7696082301567273</v>
      </c>
      <c r="E29" s="167">
        <v>12.029071076940319</v>
      </c>
      <c r="F29" s="167">
        <v>85.458674450605926</v>
      </c>
      <c r="G29" s="167">
        <v>242.30246623707032</v>
      </c>
      <c r="H29" s="167">
        <v>197.88014863797571</v>
      </c>
      <c r="I29" s="167">
        <v>222.78863982336711</v>
      </c>
      <c r="J29" s="167">
        <v>97.061167795567272</v>
      </c>
      <c r="K29" s="167">
        <v>49.015745907098541</v>
      </c>
      <c r="L29" s="167">
        <v>44.265157382049672</v>
      </c>
      <c r="M29" s="167">
        <v>42.029833937830844</v>
      </c>
      <c r="N29" s="167">
        <v>41.48889408362723</v>
      </c>
      <c r="O29" s="174">
        <f>SUM(C29:N29)</f>
        <v>1054.1100593418885</v>
      </c>
    </row>
    <row r="30" spans="2:15" ht="15" x14ac:dyDescent="0.2">
      <c r="B30" s="146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4"/>
    </row>
    <row r="31" spans="2:15" ht="15" x14ac:dyDescent="0.2">
      <c r="B31" s="146" t="s">
        <v>345</v>
      </c>
      <c r="C31" s="167">
        <v>5.0178340880110497</v>
      </c>
      <c r="D31" s="167">
        <v>3.2433020889881732</v>
      </c>
      <c r="E31" s="167">
        <v>5.0213485927128616</v>
      </c>
      <c r="F31" s="167">
        <v>35.673394224951728</v>
      </c>
      <c r="G31" s="167">
        <v>101.14539519038583</v>
      </c>
      <c r="H31" s="167">
        <v>82.601989757454064</v>
      </c>
      <c r="I31" s="167">
        <v>92.999651917762733</v>
      </c>
      <c r="J31" s="167">
        <v>40.516674579439488</v>
      </c>
      <c r="K31" s="167">
        <v>20.460860623161615</v>
      </c>
      <c r="L31" s="167">
        <v>18.477801345164604</v>
      </c>
      <c r="M31" s="167">
        <v>17.544700346833711</v>
      </c>
      <c r="N31" s="167">
        <v>17.318893419742338</v>
      </c>
      <c r="O31" s="174">
        <f>SUM(C31:N31)</f>
        <v>440.02184617460824</v>
      </c>
    </row>
    <row r="32" spans="2:15" x14ac:dyDescent="0.2">
      <c r="B32" s="168"/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</row>
    <row r="33" spans="2:15" ht="15" x14ac:dyDescent="0.2">
      <c r="B33" s="169" t="s">
        <v>123</v>
      </c>
      <c r="C33" s="170">
        <f>C29+C31</f>
        <v>17.038485867609676</v>
      </c>
      <c r="D33" s="170">
        <f t="shared" ref="D33:M33" si="2">D29+D31</f>
        <v>11.0129103191449</v>
      </c>
      <c r="E33" s="170">
        <f t="shared" si="2"/>
        <v>17.050419669653181</v>
      </c>
      <c r="F33" s="170">
        <f t="shared" si="2"/>
        <v>121.13206867555766</v>
      </c>
      <c r="G33" s="170">
        <f t="shared" si="2"/>
        <v>343.44786142745613</v>
      </c>
      <c r="H33" s="170">
        <f t="shared" si="2"/>
        <v>280.48213839542979</v>
      </c>
      <c r="I33" s="170">
        <f t="shared" si="2"/>
        <v>315.78829174112985</v>
      </c>
      <c r="J33" s="170">
        <f t="shared" si="2"/>
        <v>137.57784237500675</v>
      </c>
      <c r="K33" s="170">
        <f t="shared" si="2"/>
        <v>69.476606530260156</v>
      </c>
      <c r="L33" s="170">
        <f t="shared" si="2"/>
        <v>62.742958727214273</v>
      </c>
      <c r="M33" s="170">
        <f t="shared" si="2"/>
        <v>59.574534284664551</v>
      </c>
      <c r="N33" s="170">
        <f>N29+N31</f>
        <v>58.807787503369568</v>
      </c>
      <c r="O33" s="170">
        <f>O29+O31</f>
        <v>1494.1319055164968</v>
      </c>
    </row>
  </sheetData>
  <mergeCells count="4">
    <mergeCell ref="C18:I18"/>
    <mergeCell ref="J18:N18"/>
    <mergeCell ref="B8:B9"/>
    <mergeCell ref="C8:N8"/>
  </mergeCells>
  <pageMargins left="0.13" right="0.33" top="1" bottom="0.37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6"/>
  <sheetViews>
    <sheetView showGridLines="0" view="pageBreakPreview" topLeftCell="E7" zoomScaleNormal="93" zoomScaleSheetLayoutView="100" workbookViewId="0">
      <selection activeCell="S12" sqref="S12"/>
    </sheetView>
  </sheetViews>
  <sheetFormatPr defaultColWidth="9.28515625" defaultRowHeight="15" x14ac:dyDescent="0.2"/>
  <cols>
    <col min="1" max="1" width="2.42578125" style="13" customWidth="1"/>
    <col min="2" max="2" width="5" style="13" customWidth="1"/>
    <col min="3" max="3" width="40.5703125" style="13" customWidth="1"/>
    <col min="4" max="4" width="13" style="13" customWidth="1"/>
    <col min="5" max="5" width="9.85546875" style="13" customWidth="1"/>
    <col min="6" max="6" width="10.42578125" style="13" customWidth="1"/>
    <col min="7" max="7" width="9" style="13" customWidth="1"/>
    <col min="8" max="8" width="9.7109375" style="13" customWidth="1"/>
    <col min="9" max="9" width="10" style="13" customWidth="1"/>
    <col min="10" max="10" width="11.140625" style="13" customWidth="1"/>
    <col min="11" max="11" width="9.5703125" style="13" customWidth="1"/>
    <col min="12" max="12" width="11.85546875" style="13" customWidth="1"/>
    <col min="13" max="13" width="9.7109375" style="13" customWidth="1"/>
    <col min="14" max="15" width="9" style="13" customWidth="1"/>
    <col min="16" max="16" width="9.28515625" style="13" customWidth="1"/>
    <col min="17" max="17" width="10.42578125" style="36" customWidth="1"/>
    <col min="18" max="16384" width="9.28515625" style="13"/>
  </cols>
  <sheetData>
    <row r="1" spans="2:17" s="5" customFormat="1" ht="15" customHeight="1" x14ac:dyDescent="0.2">
      <c r="Q1" s="32"/>
    </row>
    <row r="2" spans="2:17" s="5" customFormat="1" ht="15" customHeight="1" x14ac:dyDescent="0.2">
      <c r="I2" s="32" t="s">
        <v>298</v>
      </c>
      <c r="Q2" s="32"/>
    </row>
    <row r="3" spans="2:17" s="5" customFormat="1" ht="15" customHeight="1" x14ac:dyDescent="0.2">
      <c r="I3" s="32" t="str">
        <f>'F1'!$F$3</f>
        <v>SLBHES</v>
      </c>
      <c r="Q3" s="32"/>
    </row>
    <row r="4" spans="2:17" x14ac:dyDescent="0.2">
      <c r="B4" s="24" t="s">
        <v>299</v>
      </c>
      <c r="I4" s="35" t="s">
        <v>270</v>
      </c>
    </row>
    <row r="5" spans="2:17" x14ac:dyDescent="0.2">
      <c r="B5" s="36" t="s">
        <v>12</v>
      </c>
    </row>
    <row r="6" spans="2:17" ht="30" x14ac:dyDescent="0.2">
      <c r="B6" s="90" t="s">
        <v>164</v>
      </c>
      <c r="C6" s="90" t="s">
        <v>14</v>
      </c>
      <c r="D6" s="90" t="s">
        <v>35</v>
      </c>
      <c r="E6" s="31" t="s">
        <v>125</v>
      </c>
      <c r="F6" s="31" t="s">
        <v>126</v>
      </c>
      <c r="G6" s="89" t="s">
        <v>127</v>
      </c>
      <c r="H6" s="89" t="s">
        <v>128</v>
      </c>
      <c r="I6" s="89" t="s">
        <v>129</v>
      </c>
      <c r="J6" s="89" t="s">
        <v>130</v>
      </c>
      <c r="K6" s="89" t="s">
        <v>131</v>
      </c>
      <c r="L6" s="89" t="s">
        <v>132</v>
      </c>
      <c r="M6" s="89" t="s">
        <v>133</v>
      </c>
      <c r="N6" s="89" t="s">
        <v>134</v>
      </c>
      <c r="O6" s="89" t="s">
        <v>135</v>
      </c>
      <c r="P6" s="89" t="s">
        <v>136</v>
      </c>
      <c r="Q6" s="91" t="s">
        <v>123</v>
      </c>
    </row>
    <row r="7" spans="2:17" ht="17.25" x14ac:dyDescent="0.2">
      <c r="B7" s="92">
        <v>1</v>
      </c>
      <c r="C7" s="93" t="s">
        <v>147</v>
      </c>
      <c r="D7" s="92" t="s">
        <v>36</v>
      </c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1"/>
    </row>
    <row r="8" spans="2:17" ht="17.25" x14ac:dyDescent="0.2">
      <c r="B8" s="92">
        <f>B7+1</f>
        <v>2</v>
      </c>
      <c r="C8" s="93" t="s">
        <v>165</v>
      </c>
      <c r="D8" s="92" t="s">
        <v>36</v>
      </c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1"/>
    </row>
    <row r="9" spans="2:17" ht="17.25" x14ac:dyDescent="0.2">
      <c r="B9" s="92">
        <f t="shared" ref="B9:B25" si="0">B8+1</f>
        <v>3</v>
      </c>
      <c r="C9" s="93" t="s">
        <v>166</v>
      </c>
      <c r="D9" s="92" t="s">
        <v>36</v>
      </c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1"/>
    </row>
    <row r="10" spans="2:17" ht="17.25" x14ac:dyDescent="0.2">
      <c r="B10" s="92">
        <f t="shared" si="0"/>
        <v>4</v>
      </c>
      <c r="C10" s="93" t="s">
        <v>37</v>
      </c>
      <c r="D10" s="92" t="s">
        <v>36</v>
      </c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1"/>
    </row>
    <row r="11" spans="2:17" ht="17.25" x14ac:dyDescent="0.2">
      <c r="B11" s="92">
        <f t="shared" si="0"/>
        <v>5</v>
      </c>
      <c r="C11" s="93" t="s">
        <v>167</v>
      </c>
      <c r="D11" s="92" t="s">
        <v>36</v>
      </c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1"/>
    </row>
    <row r="12" spans="2:17" ht="17.25" x14ac:dyDescent="0.2">
      <c r="B12" s="92">
        <f t="shared" si="0"/>
        <v>6</v>
      </c>
      <c r="C12" s="93" t="s">
        <v>168</v>
      </c>
      <c r="D12" s="92" t="s">
        <v>36</v>
      </c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1"/>
    </row>
    <row r="13" spans="2:17" ht="17.25" x14ac:dyDescent="0.2">
      <c r="B13" s="92">
        <f t="shared" si="0"/>
        <v>7</v>
      </c>
      <c r="C13" s="87" t="s">
        <v>169</v>
      </c>
      <c r="D13" s="95" t="s">
        <v>38</v>
      </c>
      <c r="E13" s="162">
        <v>0</v>
      </c>
      <c r="F13" s="162">
        <v>0</v>
      </c>
      <c r="G13" s="162">
        <v>0</v>
      </c>
      <c r="H13" s="162">
        <v>141.36000000000001</v>
      </c>
      <c r="I13" s="162">
        <v>525.33000000000004</v>
      </c>
      <c r="J13" s="162">
        <v>485.93</v>
      </c>
      <c r="K13" s="162">
        <v>486.81</v>
      </c>
      <c r="L13" s="162">
        <v>276.10000000000002</v>
      </c>
      <c r="M13" s="162">
        <v>78</v>
      </c>
      <c r="N13" s="162">
        <v>59.74</v>
      </c>
      <c r="O13" s="162">
        <v>17.89</v>
      </c>
      <c r="P13" s="162">
        <v>139.86000000000001</v>
      </c>
      <c r="Q13" s="161">
        <f>SUM(E13:P13)</f>
        <v>2211.02</v>
      </c>
    </row>
    <row r="14" spans="2:17" ht="17.25" x14ac:dyDescent="0.2">
      <c r="B14" s="92">
        <f t="shared" si="0"/>
        <v>8</v>
      </c>
      <c r="C14" s="87" t="s">
        <v>170</v>
      </c>
      <c r="D14" s="95" t="s">
        <v>38</v>
      </c>
      <c r="E14" s="162">
        <v>0.6</v>
      </c>
      <c r="F14" s="162">
        <v>0.65</v>
      </c>
      <c r="G14" s="162">
        <v>0.63</v>
      </c>
      <c r="H14" s="162">
        <v>1.49</v>
      </c>
      <c r="I14" s="162">
        <v>4.03</v>
      </c>
      <c r="J14" s="162">
        <v>3.52</v>
      </c>
      <c r="K14" s="162">
        <v>3.44</v>
      </c>
      <c r="L14" s="162">
        <v>2.2599999999999998</v>
      </c>
      <c r="M14" s="162">
        <v>1.1499999999999999</v>
      </c>
      <c r="N14" s="162">
        <v>1.1100000000000001</v>
      </c>
      <c r="O14" s="162">
        <v>0.71</v>
      </c>
      <c r="P14" s="162">
        <v>1.4</v>
      </c>
      <c r="Q14" s="161">
        <f t="shared" ref="Q14:Q24" si="1">SUM(E14:P14)</f>
        <v>20.989999999999995</v>
      </c>
    </row>
    <row r="15" spans="2:17" ht="17.25" x14ac:dyDescent="0.2">
      <c r="B15" s="92">
        <f t="shared" si="0"/>
        <v>9</v>
      </c>
      <c r="C15" s="87" t="s">
        <v>183</v>
      </c>
      <c r="D15" s="95" t="s">
        <v>38</v>
      </c>
      <c r="E15" s="162">
        <v>-0.6</v>
      </c>
      <c r="F15" s="162">
        <v>-0.65</v>
      </c>
      <c r="G15" s="162">
        <v>-0.63</v>
      </c>
      <c r="H15" s="162">
        <v>139.87</v>
      </c>
      <c r="I15" s="162">
        <v>521.30000000000007</v>
      </c>
      <c r="J15" s="162">
        <v>482.41</v>
      </c>
      <c r="K15" s="162">
        <v>483.37</v>
      </c>
      <c r="L15" s="162">
        <v>273.84000000000003</v>
      </c>
      <c r="M15" s="162">
        <v>76.849999999999994</v>
      </c>
      <c r="N15" s="162">
        <v>58.63</v>
      </c>
      <c r="O15" s="162">
        <v>17.18</v>
      </c>
      <c r="P15" s="162">
        <v>138.46</v>
      </c>
      <c r="Q15" s="161">
        <f t="shared" si="1"/>
        <v>2190.0300000000002</v>
      </c>
    </row>
    <row r="16" spans="2:17" ht="17.25" x14ac:dyDescent="0.2">
      <c r="B16" s="92">
        <f t="shared" si="0"/>
        <v>10</v>
      </c>
      <c r="C16" s="87" t="s">
        <v>184</v>
      </c>
      <c r="D16" s="95" t="s">
        <v>38</v>
      </c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161"/>
    </row>
    <row r="17" spans="2:17" ht="17.25" x14ac:dyDescent="0.2">
      <c r="B17" s="92">
        <f t="shared" si="0"/>
        <v>11</v>
      </c>
      <c r="C17" s="87" t="s">
        <v>171</v>
      </c>
      <c r="D17" s="95" t="s">
        <v>175</v>
      </c>
      <c r="E17" s="203">
        <v>0</v>
      </c>
      <c r="F17" s="203">
        <v>0</v>
      </c>
      <c r="G17" s="203">
        <v>0</v>
      </c>
      <c r="H17" s="203">
        <v>0</v>
      </c>
      <c r="I17" s="203">
        <v>0</v>
      </c>
      <c r="J17" s="203">
        <v>0</v>
      </c>
      <c r="K17" s="203">
        <v>0</v>
      </c>
      <c r="L17" s="203">
        <v>0</v>
      </c>
      <c r="M17" s="203">
        <v>0</v>
      </c>
      <c r="N17" s="203">
        <v>0</v>
      </c>
      <c r="O17" s="203">
        <v>0</v>
      </c>
      <c r="P17" s="203">
        <v>0</v>
      </c>
      <c r="Q17" s="161"/>
    </row>
    <row r="18" spans="2:17" ht="17.25" x14ac:dyDescent="0.2">
      <c r="B18" s="92">
        <f t="shared" si="0"/>
        <v>12</v>
      </c>
      <c r="C18" s="87" t="s">
        <v>185</v>
      </c>
      <c r="D18" s="95" t="s">
        <v>176</v>
      </c>
      <c r="E18" s="162">
        <v>28.705833299999998</v>
      </c>
      <c r="F18" s="162">
        <v>28.705833299999998</v>
      </c>
      <c r="G18" s="162">
        <v>28.705833299999998</v>
      </c>
      <c r="H18" s="162">
        <v>28.705833299999998</v>
      </c>
      <c r="I18" s="162">
        <v>28.705833299999998</v>
      </c>
      <c r="J18" s="162">
        <v>28.705833299999998</v>
      </c>
      <c r="K18" s="162">
        <v>28.705833299999998</v>
      </c>
      <c r="L18" s="162">
        <v>28.705833299999998</v>
      </c>
      <c r="M18" s="162">
        <v>28.705833299999998</v>
      </c>
      <c r="N18" s="162">
        <v>28.705833299999998</v>
      </c>
      <c r="O18" s="162">
        <v>28.705833299999998</v>
      </c>
      <c r="P18" s="162">
        <v>28.705833299999998</v>
      </c>
      <c r="Q18" s="161">
        <f t="shared" si="1"/>
        <v>344.46999959999999</v>
      </c>
    </row>
    <row r="19" spans="2:17" ht="17.25" x14ac:dyDescent="0.2">
      <c r="B19" s="92">
        <f t="shared" si="0"/>
        <v>13</v>
      </c>
      <c r="C19" s="87" t="s">
        <v>268</v>
      </c>
      <c r="D19" s="95" t="s">
        <v>175</v>
      </c>
      <c r="E19" s="203">
        <v>0</v>
      </c>
      <c r="F19" s="203">
        <v>0</v>
      </c>
      <c r="G19" s="203">
        <v>0</v>
      </c>
      <c r="H19" s="203">
        <v>0</v>
      </c>
      <c r="I19" s="203">
        <v>0</v>
      </c>
      <c r="J19" s="203">
        <v>0</v>
      </c>
      <c r="K19" s="203">
        <v>0</v>
      </c>
      <c r="L19" s="203">
        <v>0</v>
      </c>
      <c r="M19" s="203">
        <v>0</v>
      </c>
      <c r="N19" s="203">
        <v>0</v>
      </c>
      <c r="O19" s="203">
        <v>0</v>
      </c>
      <c r="P19" s="203">
        <v>0</v>
      </c>
      <c r="Q19" s="161"/>
    </row>
    <row r="20" spans="2:17" ht="17.25" x14ac:dyDescent="0.2">
      <c r="B20" s="92">
        <f t="shared" si="0"/>
        <v>14</v>
      </c>
      <c r="C20" s="87" t="s">
        <v>172</v>
      </c>
      <c r="D20" s="95" t="s">
        <v>176</v>
      </c>
      <c r="E20" s="162">
        <v>28.705833299999998</v>
      </c>
      <c r="F20" s="162">
        <v>28.705833299999998</v>
      </c>
      <c r="G20" s="162">
        <v>28.705833299999998</v>
      </c>
      <c r="H20" s="162">
        <v>28.705833299999998</v>
      </c>
      <c r="I20" s="162">
        <v>28.705833299999998</v>
      </c>
      <c r="J20" s="162">
        <v>28.705833299999998</v>
      </c>
      <c r="K20" s="162">
        <v>28.705833299999998</v>
      </c>
      <c r="L20" s="162">
        <v>28.705833299999998</v>
      </c>
      <c r="M20" s="162">
        <v>28.705833299999998</v>
      </c>
      <c r="N20" s="162">
        <v>28.705833299999998</v>
      </c>
      <c r="O20" s="162">
        <v>28.705833299999998</v>
      </c>
      <c r="P20" s="162">
        <v>28.705833299999998</v>
      </c>
      <c r="Q20" s="161">
        <f t="shared" si="1"/>
        <v>344.46999959999999</v>
      </c>
    </row>
    <row r="21" spans="2:17" ht="17.25" x14ac:dyDescent="0.2">
      <c r="B21" s="92">
        <f t="shared" si="0"/>
        <v>15</v>
      </c>
      <c r="C21" s="87" t="s">
        <v>269</v>
      </c>
      <c r="D21" s="95" t="s">
        <v>176</v>
      </c>
      <c r="E21" s="203">
        <v>0</v>
      </c>
      <c r="F21" s="203">
        <v>0</v>
      </c>
      <c r="G21" s="203">
        <v>0</v>
      </c>
      <c r="H21" s="203">
        <v>0</v>
      </c>
      <c r="I21" s="203">
        <v>0</v>
      </c>
      <c r="J21" s="203">
        <v>0</v>
      </c>
      <c r="K21" s="203">
        <v>0</v>
      </c>
      <c r="L21" s="203">
        <v>0</v>
      </c>
      <c r="M21" s="203">
        <v>0</v>
      </c>
      <c r="N21" s="203">
        <v>0</v>
      </c>
      <c r="O21" s="203">
        <v>0</v>
      </c>
      <c r="P21" s="203">
        <v>0</v>
      </c>
      <c r="Q21" s="161"/>
    </row>
    <row r="22" spans="2:17" ht="17.25" x14ac:dyDescent="0.2">
      <c r="B22" s="92">
        <f t="shared" si="0"/>
        <v>16</v>
      </c>
      <c r="C22" s="87" t="s">
        <v>186</v>
      </c>
      <c r="D22" s="95" t="s">
        <v>176</v>
      </c>
      <c r="E22" s="203">
        <v>0</v>
      </c>
      <c r="F22" s="203">
        <v>0</v>
      </c>
      <c r="G22" s="203">
        <v>0</v>
      </c>
      <c r="H22" s="203">
        <v>0</v>
      </c>
      <c r="I22" s="203">
        <v>0</v>
      </c>
      <c r="J22" s="203">
        <v>0</v>
      </c>
      <c r="K22" s="203">
        <v>0</v>
      </c>
      <c r="L22" s="203">
        <v>0</v>
      </c>
      <c r="M22" s="203">
        <v>0</v>
      </c>
      <c r="N22" s="203">
        <v>0</v>
      </c>
      <c r="O22" s="203">
        <v>0</v>
      </c>
      <c r="P22" s="203">
        <v>0</v>
      </c>
      <c r="Q22" s="161"/>
    </row>
    <row r="23" spans="2:17" ht="17.25" x14ac:dyDescent="0.2">
      <c r="B23" s="92">
        <f t="shared" si="0"/>
        <v>17</v>
      </c>
      <c r="C23" s="87" t="s">
        <v>173</v>
      </c>
      <c r="D23" s="95" t="s">
        <v>176</v>
      </c>
      <c r="E23" s="203">
        <v>0</v>
      </c>
      <c r="F23" s="203">
        <v>0</v>
      </c>
      <c r="G23" s="203">
        <v>0</v>
      </c>
      <c r="H23" s="203">
        <v>0</v>
      </c>
      <c r="I23" s="203">
        <v>0</v>
      </c>
      <c r="J23" s="203">
        <v>0</v>
      </c>
      <c r="K23" s="203">
        <v>0</v>
      </c>
      <c r="L23" s="203">
        <v>0</v>
      </c>
      <c r="M23" s="203">
        <v>0</v>
      </c>
      <c r="N23" s="203">
        <v>0</v>
      </c>
      <c r="O23" s="203">
        <v>0</v>
      </c>
      <c r="P23" s="203">
        <v>0</v>
      </c>
      <c r="Q23" s="161"/>
    </row>
    <row r="24" spans="2:17" ht="17.25" x14ac:dyDescent="0.2">
      <c r="B24" s="92">
        <f t="shared" si="0"/>
        <v>18</v>
      </c>
      <c r="C24" s="97" t="s">
        <v>139</v>
      </c>
      <c r="D24" s="95" t="s">
        <v>176</v>
      </c>
      <c r="E24" s="161">
        <v>28.705833299999998</v>
      </c>
      <c r="F24" s="161">
        <v>28.705833299999998</v>
      </c>
      <c r="G24" s="161">
        <v>28.705833299999998</v>
      </c>
      <c r="H24" s="161">
        <v>28.705833299999998</v>
      </c>
      <c r="I24" s="161">
        <v>28.705833299999998</v>
      </c>
      <c r="J24" s="161">
        <v>28.705833299999998</v>
      </c>
      <c r="K24" s="161">
        <v>28.705833299999998</v>
      </c>
      <c r="L24" s="161">
        <v>28.705833299999998</v>
      </c>
      <c r="M24" s="161">
        <v>28.705833299999998</v>
      </c>
      <c r="N24" s="161">
        <v>28.705833299999998</v>
      </c>
      <c r="O24" s="161">
        <v>28.705833299999998</v>
      </c>
      <c r="P24" s="161">
        <v>28.705833299999998</v>
      </c>
      <c r="Q24" s="161">
        <f t="shared" si="1"/>
        <v>344.46999959999999</v>
      </c>
    </row>
    <row r="25" spans="2:17" ht="17.25" x14ac:dyDescent="0.2">
      <c r="B25" s="92">
        <f t="shared" si="0"/>
        <v>19</v>
      </c>
      <c r="C25" s="99" t="s">
        <v>174</v>
      </c>
      <c r="D25" s="95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1"/>
    </row>
    <row r="26" spans="2:17" ht="33" x14ac:dyDescent="0.2">
      <c r="B26" s="142" t="s">
        <v>323</v>
      </c>
      <c r="C26" s="143" t="s">
        <v>324</v>
      </c>
      <c r="D26" s="144" t="s">
        <v>176</v>
      </c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1">
        <v>-4.08</v>
      </c>
    </row>
    <row r="27" spans="2:17" ht="33" x14ac:dyDescent="0.2">
      <c r="B27" s="142" t="s">
        <v>323</v>
      </c>
      <c r="C27" s="143" t="s">
        <v>325</v>
      </c>
      <c r="D27" s="144" t="s">
        <v>176</v>
      </c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1">
        <v>8.24</v>
      </c>
    </row>
    <row r="28" spans="2:17" ht="17.25" x14ac:dyDescent="0.2">
      <c r="B28" s="142" t="s">
        <v>323</v>
      </c>
      <c r="C28" s="143" t="s">
        <v>89</v>
      </c>
      <c r="D28" s="144" t="s">
        <v>176</v>
      </c>
      <c r="E28" s="161">
        <v>28.705833299999998</v>
      </c>
      <c r="F28" s="161">
        <v>28.705833299999998</v>
      </c>
      <c r="G28" s="161">
        <v>28.705833299999998</v>
      </c>
      <c r="H28" s="161">
        <v>28.705833299999998</v>
      </c>
      <c r="I28" s="161">
        <v>28.705833299999998</v>
      </c>
      <c r="J28" s="161">
        <v>28.705833299999998</v>
      </c>
      <c r="K28" s="161">
        <v>28.705833299999998</v>
      </c>
      <c r="L28" s="161">
        <v>28.705833299999998</v>
      </c>
      <c r="M28" s="161">
        <v>28.705833299999998</v>
      </c>
      <c r="N28" s="161">
        <v>28.705833299999998</v>
      </c>
      <c r="O28" s="161">
        <v>28.705833299999998</v>
      </c>
      <c r="P28" s="161">
        <v>28.705833299999998</v>
      </c>
      <c r="Q28" s="161">
        <f>Q24+Q26+Q27</f>
        <v>348.62999960000002</v>
      </c>
    </row>
    <row r="29" spans="2:17" ht="33" x14ac:dyDescent="0.2">
      <c r="B29" s="142" t="s">
        <v>323</v>
      </c>
      <c r="C29" s="143" t="s">
        <v>326</v>
      </c>
      <c r="D29" s="144" t="s">
        <v>176</v>
      </c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1"/>
    </row>
    <row r="30" spans="2:17" x14ac:dyDescent="0.2">
      <c r="B30" s="95">
        <f>B25+1</f>
        <v>20</v>
      </c>
      <c r="C30" s="86" t="s">
        <v>146</v>
      </c>
      <c r="D30" s="95" t="s">
        <v>176</v>
      </c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</row>
    <row r="31" spans="2:17" x14ac:dyDescent="0.2">
      <c r="B31" s="95">
        <f>B30+1</f>
        <v>21</v>
      </c>
      <c r="C31" s="86" t="s">
        <v>177</v>
      </c>
      <c r="D31" s="95" t="s">
        <v>176</v>
      </c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100"/>
    </row>
    <row r="32" spans="2:17" ht="14.25" x14ac:dyDescent="0.2"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</row>
    <row r="33" spans="5:17" ht="14.25" x14ac:dyDescent="0.2"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</row>
    <row r="34" spans="5:17" ht="14.25" x14ac:dyDescent="0.2"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</row>
    <row r="35" spans="5:17" ht="14.25" x14ac:dyDescent="0.2"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</row>
    <row r="36" spans="5:17" ht="14.25" x14ac:dyDescent="0.2"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</row>
    <row r="37" spans="5:17" ht="14.25" x14ac:dyDescent="0.2"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</row>
    <row r="38" spans="5:17" ht="14.25" x14ac:dyDescent="0.2"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</row>
    <row r="39" spans="5:17" ht="14.25" x14ac:dyDescent="0.2"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</row>
    <row r="40" spans="5:17" ht="14.25" x14ac:dyDescent="0.2"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</row>
    <row r="41" spans="5:17" ht="14.25" x14ac:dyDescent="0.2">
      <c r="E41" s="133"/>
      <c r="F41" s="133"/>
      <c r="G41" s="133"/>
      <c r="H41" s="133"/>
      <c r="I41" s="133"/>
      <c r="J41" s="133"/>
      <c r="K41" s="133"/>
      <c r="L41" s="133"/>
      <c r="M41" s="133"/>
      <c r="N41" s="133"/>
      <c r="O41" s="133"/>
      <c r="P41" s="133"/>
      <c r="Q41" s="133"/>
    </row>
    <row r="42" spans="5:17" ht="14.25" x14ac:dyDescent="0.2"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</row>
    <row r="43" spans="5:17" ht="14.25" x14ac:dyDescent="0.2"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</row>
    <row r="44" spans="5:17" ht="14.25" x14ac:dyDescent="0.2"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</row>
    <row r="45" spans="5:17" ht="14.25" x14ac:dyDescent="0.2"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</row>
    <row r="46" spans="5:17" ht="14.25" x14ac:dyDescent="0.2"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</row>
  </sheetData>
  <pageMargins left="0.2" right="0.2" top="0.25" bottom="0.2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2"/>
  <sheetViews>
    <sheetView showGridLines="0" topLeftCell="A4" zoomScale="89" zoomScaleNormal="89" zoomScaleSheetLayoutView="91" workbookViewId="0">
      <selection activeCell="F10" sqref="F10"/>
    </sheetView>
  </sheetViews>
  <sheetFormatPr defaultColWidth="9.28515625" defaultRowHeight="14.25" x14ac:dyDescent="0.2"/>
  <cols>
    <col min="1" max="1" width="3" style="13" customWidth="1"/>
    <col min="2" max="2" width="5.7109375" style="13" customWidth="1"/>
    <col min="3" max="3" width="37" style="13" customWidth="1"/>
    <col min="4" max="5" width="11.5703125" style="13" customWidth="1"/>
    <col min="6" max="6" width="12.7109375" style="13" customWidth="1"/>
    <col min="7" max="7" width="11" style="13" customWidth="1"/>
    <col min="8" max="8" width="12.140625" style="13" customWidth="1"/>
    <col min="9" max="9" width="13.42578125" style="13" customWidth="1"/>
    <col min="10" max="10" width="11.140625" style="13" customWidth="1"/>
    <col min="11" max="11" width="11.5703125" style="13" customWidth="1"/>
    <col min="12" max="12" width="13.5703125" style="13" customWidth="1"/>
    <col min="13" max="13" width="10.5703125" style="13" customWidth="1"/>
    <col min="14" max="16384" width="9.28515625" style="13"/>
  </cols>
  <sheetData>
    <row r="2" spans="2:13" ht="15" x14ac:dyDescent="0.2">
      <c r="C2" s="5"/>
      <c r="D2" s="5"/>
      <c r="E2" s="5"/>
      <c r="F2" s="32" t="s">
        <v>298</v>
      </c>
      <c r="G2" s="5"/>
      <c r="H2" s="5"/>
      <c r="I2" s="5"/>
      <c r="J2" s="5"/>
      <c r="K2" s="5"/>
      <c r="L2" s="5"/>
      <c r="M2" s="5"/>
    </row>
    <row r="3" spans="2:13" ht="15" x14ac:dyDescent="0.2">
      <c r="C3" s="5"/>
      <c r="D3" s="5"/>
      <c r="E3" s="5"/>
      <c r="F3" s="32" t="s">
        <v>333</v>
      </c>
      <c r="G3" s="5"/>
      <c r="H3" s="5"/>
      <c r="I3" s="5"/>
      <c r="J3" s="5"/>
      <c r="K3" s="5"/>
      <c r="L3" s="5"/>
      <c r="M3" s="5"/>
    </row>
    <row r="4" spans="2:13" s="4" customFormat="1" ht="15.75" x14ac:dyDescent="0.2">
      <c r="C4" s="5"/>
      <c r="D4" s="5"/>
      <c r="F4" s="64" t="s">
        <v>302</v>
      </c>
      <c r="G4" s="5"/>
      <c r="H4" s="5"/>
      <c r="I4" s="5"/>
      <c r="J4" s="5"/>
      <c r="K4" s="5"/>
      <c r="L4" s="5"/>
      <c r="M4" s="5"/>
    </row>
    <row r="6" spans="2:13" ht="12.75" customHeight="1" x14ac:dyDescent="0.2">
      <c r="B6" s="219" t="s">
        <v>164</v>
      </c>
      <c r="C6" s="222" t="s">
        <v>14</v>
      </c>
      <c r="D6" s="216" t="s">
        <v>35</v>
      </c>
      <c r="E6" s="222" t="s">
        <v>1</v>
      </c>
      <c r="F6" s="226" t="s">
        <v>299</v>
      </c>
      <c r="G6" s="227"/>
      <c r="H6" s="228"/>
      <c r="I6" s="226" t="s">
        <v>300</v>
      </c>
      <c r="J6" s="228"/>
      <c r="K6" s="226" t="s">
        <v>331</v>
      </c>
      <c r="L6" s="228"/>
      <c r="M6" s="224" t="s">
        <v>11</v>
      </c>
    </row>
    <row r="7" spans="2:13" ht="60" customHeight="1" x14ac:dyDescent="0.2">
      <c r="B7" s="220"/>
      <c r="C7" s="222"/>
      <c r="D7" s="217"/>
      <c r="E7" s="222"/>
      <c r="F7" s="15" t="s">
        <v>271</v>
      </c>
      <c r="G7" s="15" t="s">
        <v>196</v>
      </c>
      <c r="H7" s="15" t="s">
        <v>330</v>
      </c>
      <c r="I7" s="15" t="s">
        <v>271</v>
      </c>
      <c r="J7" s="15" t="s">
        <v>198</v>
      </c>
      <c r="K7" s="15" t="s">
        <v>271</v>
      </c>
      <c r="L7" s="15" t="s">
        <v>198</v>
      </c>
      <c r="M7" s="224"/>
    </row>
    <row r="8" spans="2:13" ht="30" x14ac:dyDescent="0.2">
      <c r="B8" s="221"/>
      <c r="C8" s="223"/>
      <c r="D8" s="218"/>
      <c r="E8" s="223"/>
      <c r="F8" s="15" t="s">
        <v>10</v>
      </c>
      <c r="G8" s="15" t="s">
        <v>12</v>
      </c>
      <c r="H8" s="15" t="s">
        <v>197</v>
      </c>
      <c r="I8" s="15" t="s">
        <v>10</v>
      </c>
      <c r="J8" s="15" t="s">
        <v>327</v>
      </c>
      <c r="K8" s="15" t="s">
        <v>10</v>
      </c>
      <c r="L8" s="15" t="s">
        <v>327</v>
      </c>
      <c r="M8" s="225"/>
    </row>
    <row r="9" spans="2:13" ht="15" x14ac:dyDescent="0.2">
      <c r="B9" s="22" t="s">
        <v>51</v>
      </c>
      <c r="C9" s="23" t="s">
        <v>201</v>
      </c>
      <c r="D9" s="20"/>
      <c r="E9" s="20"/>
      <c r="F9" s="15"/>
      <c r="G9" s="15"/>
      <c r="H9" s="15"/>
      <c r="I9" s="15"/>
      <c r="J9" s="15"/>
      <c r="K9" s="15"/>
      <c r="L9" s="15"/>
      <c r="M9" s="21"/>
    </row>
    <row r="10" spans="2:13" ht="15" x14ac:dyDescent="0.2">
      <c r="B10" s="2">
        <v>1</v>
      </c>
      <c r="C10" s="3" t="s">
        <v>32</v>
      </c>
      <c r="D10" s="2" t="s">
        <v>176</v>
      </c>
      <c r="E10" s="17" t="s">
        <v>232</v>
      </c>
      <c r="F10" s="151">
        <f>'F2'!E14</f>
        <v>100.18</v>
      </c>
      <c r="G10" s="151">
        <f>'F2'!F14</f>
        <v>189.13</v>
      </c>
      <c r="H10" s="151">
        <f>'F2'!G14</f>
        <v>189.13</v>
      </c>
      <c r="I10" s="151">
        <f>'F2'!H14</f>
        <v>106.14</v>
      </c>
      <c r="J10" s="151">
        <f>'F2'!I14</f>
        <v>201.5</v>
      </c>
      <c r="K10" s="151">
        <f>'F2'!J14</f>
        <v>112.12</v>
      </c>
      <c r="L10" s="151">
        <f>'F2'!K14</f>
        <v>210.31</v>
      </c>
      <c r="M10" s="117"/>
    </row>
    <row r="11" spans="2:13" ht="15" x14ac:dyDescent="0.2">
      <c r="B11" s="2">
        <f t="shared" ref="B11:B16" si="0">B10+1</f>
        <v>2</v>
      </c>
      <c r="C11" s="18" t="s">
        <v>144</v>
      </c>
      <c r="D11" s="2" t="s">
        <v>176</v>
      </c>
      <c r="E11" s="17" t="s">
        <v>19</v>
      </c>
      <c r="F11" s="152">
        <v>86.43</v>
      </c>
      <c r="G11" s="152">
        <f>H11</f>
        <v>58.72</v>
      </c>
      <c r="H11" s="151">
        <f>'F4'!K21</f>
        <v>58.72</v>
      </c>
      <c r="I11" s="153">
        <v>86.43</v>
      </c>
      <c r="J11" s="151">
        <f>'F4'!K43</f>
        <v>59.13</v>
      </c>
      <c r="K11" s="153">
        <v>86.43</v>
      </c>
      <c r="L11" s="151">
        <f>'F4'!K59</f>
        <v>59.13</v>
      </c>
      <c r="M11" s="117"/>
    </row>
    <row r="12" spans="2:13" ht="15" x14ac:dyDescent="0.2">
      <c r="B12" s="2">
        <f t="shared" si="0"/>
        <v>3</v>
      </c>
      <c r="C12" s="3" t="s">
        <v>199</v>
      </c>
      <c r="D12" s="2" t="s">
        <v>176</v>
      </c>
      <c r="E12" s="16" t="s">
        <v>25</v>
      </c>
      <c r="F12" s="151">
        <f>'F5'!D21</f>
        <v>24.01</v>
      </c>
      <c r="G12" s="151">
        <f>'F5'!E21</f>
        <v>41.45</v>
      </c>
      <c r="H12" s="151">
        <f>'F5'!F21</f>
        <v>41.45</v>
      </c>
      <c r="I12" s="151">
        <f>'F5'!G21</f>
        <v>15.88</v>
      </c>
      <c r="J12" s="151">
        <f>'F5'!H21</f>
        <v>36.08</v>
      </c>
      <c r="K12" s="151">
        <f>'F5'!I21</f>
        <v>0</v>
      </c>
      <c r="L12" s="151">
        <f>'F5'!J21</f>
        <v>30.08</v>
      </c>
      <c r="M12" s="117"/>
    </row>
    <row r="13" spans="2:13" ht="15" x14ac:dyDescent="0.2">
      <c r="B13" s="2">
        <f t="shared" si="0"/>
        <v>4</v>
      </c>
      <c r="C13" s="18" t="s">
        <v>33</v>
      </c>
      <c r="D13" s="2" t="s">
        <v>176</v>
      </c>
      <c r="E13" s="16" t="s">
        <v>26</v>
      </c>
      <c r="F13" s="151">
        <f>'F6'!D19</f>
        <v>8.58</v>
      </c>
      <c r="G13" s="151">
        <f ca="1">'F6'!E19</f>
        <v>11.81</v>
      </c>
      <c r="H13" s="151">
        <f ca="1">'F6'!F19</f>
        <v>11.81</v>
      </c>
      <c r="I13" s="151">
        <f>'F6'!G19</f>
        <v>9.25</v>
      </c>
      <c r="J13" s="151">
        <f ca="1">'F6'!H19</f>
        <v>11.85</v>
      </c>
      <c r="K13" s="151">
        <f>'F6'!I19</f>
        <v>9.17</v>
      </c>
      <c r="L13" s="151">
        <f ca="1">'F6'!J19</f>
        <v>11.96</v>
      </c>
      <c r="M13" s="117"/>
    </row>
    <row r="14" spans="2:13" ht="15" x14ac:dyDescent="0.2">
      <c r="B14" s="2">
        <f t="shared" si="0"/>
        <v>5</v>
      </c>
      <c r="C14" s="3" t="s">
        <v>200</v>
      </c>
      <c r="D14" s="2" t="s">
        <v>176</v>
      </c>
      <c r="E14" s="16" t="s">
        <v>27</v>
      </c>
      <c r="F14" s="151">
        <f>'F7'!D21</f>
        <v>128.07</v>
      </c>
      <c r="G14" s="151">
        <f>'F7'!E21</f>
        <v>224.31</v>
      </c>
      <c r="H14" s="151">
        <f>'F7'!F21</f>
        <v>224.31</v>
      </c>
      <c r="I14" s="151">
        <f>'F7'!G21</f>
        <v>171.02</v>
      </c>
      <c r="J14" s="151">
        <f>'F7'!H21</f>
        <v>224.75</v>
      </c>
      <c r="K14" s="151">
        <f>'F7'!I21</f>
        <v>171.02</v>
      </c>
      <c r="L14" s="151">
        <f>'F7'!J21</f>
        <v>224.75</v>
      </c>
      <c r="M14" s="117"/>
    </row>
    <row r="15" spans="2:13" ht="15" x14ac:dyDescent="0.2">
      <c r="B15" s="2">
        <f t="shared" si="0"/>
        <v>6</v>
      </c>
      <c r="C15" s="3" t="s">
        <v>34</v>
      </c>
      <c r="D15" s="2" t="s">
        <v>176</v>
      </c>
      <c r="E15" s="16" t="s">
        <v>28</v>
      </c>
      <c r="F15" s="151">
        <f>'F8'!D29</f>
        <v>2.81</v>
      </c>
      <c r="G15" s="151">
        <f>'F8'!E29</f>
        <v>7.38</v>
      </c>
      <c r="H15" s="151">
        <f>G15</f>
        <v>7.38</v>
      </c>
      <c r="I15" s="151">
        <f>'F8'!G29</f>
        <v>2.92</v>
      </c>
      <c r="J15" s="151">
        <f>'F8'!H29</f>
        <v>7.7</v>
      </c>
      <c r="K15" s="151">
        <f>'F8'!I29</f>
        <v>3.04</v>
      </c>
      <c r="L15" s="151">
        <f>'F8'!J29</f>
        <v>8.01</v>
      </c>
      <c r="M15" s="117"/>
    </row>
    <row r="16" spans="2:13" ht="15" x14ac:dyDescent="0.2">
      <c r="B16" s="14">
        <f t="shared" si="0"/>
        <v>7</v>
      </c>
      <c r="C16" s="19" t="s">
        <v>201</v>
      </c>
      <c r="D16" s="14" t="s">
        <v>176</v>
      </c>
      <c r="E16" s="16"/>
      <c r="F16" s="151">
        <f>SUM(F10:F14)-F15</f>
        <v>344.46</v>
      </c>
      <c r="G16" s="151">
        <f ca="1">SUM(G10:G14)-G15</f>
        <v>518.04000000000008</v>
      </c>
      <c r="H16" s="151">
        <f t="shared" ref="H16:J16" ca="1" si="1">SUM(H10:H14)-H15</f>
        <v>518.04000000000008</v>
      </c>
      <c r="I16" s="151">
        <f t="shared" si="1"/>
        <v>385.8</v>
      </c>
      <c r="J16" s="151">
        <f t="shared" ca="1" si="1"/>
        <v>525.6099999999999</v>
      </c>
      <c r="K16" s="151">
        <f>SUM(K10:K14)-K15</f>
        <v>375.7</v>
      </c>
      <c r="L16" s="151">
        <f t="shared" ref="L16" ca="1" si="2">SUM(L10:L14)-L15</f>
        <v>528.22</v>
      </c>
      <c r="M16" s="117"/>
    </row>
    <row r="17" spans="2:13" ht="15" x14ac:dyDescent="0.2">
      <c r="B17" s="14" t="s">
        <v>55</v>
      </c>
      <c r="C17" s="14" t="s">
        <v>202</v>
      </c>
      <c r="D17" s="16"/>
      <c r="E17" s="16"/>
      <c r="F17" s="118"/>
      <c r="G17" s="118"/>
      <c r="H17" s="118"/>
      <c r="I17" s="118"/>
      <c r="J17" s="118"/>
      <c r="K17" s="118"/>
      <c r="L17" s="118"/>
      <c r="M17" s="3"/>
    </row>
    <row r="18" spans="2:13" ht="15" x14ac:dyDescent="0.2">
      <c r="B18" s="2">
        <v>1</v>
      </c>
      <c r="C18" s="16" t="s">
        <v>203</v>
      </c>
      <c r="D18" s="2" t="s">
        <v>175</v>
      </c>
      <c r="E18" s="16" t="s">
        <v>141</v>
      </c>
      <c r="F18" s="154"/>
      <c r="G18" s="154"/>
      <c r="H18" s="154"/>
      <c r="I18" s="154"/>
      <c r="J18" s="154"/>
      <c r="K18" s="154"/>
      <c r="L18" s="154"/>
      <c r="M18" s="3"/>
    </row>
    <row r="19" spans="2:13" ht="15" x14ac:dyDescent="0.2">
      <c r="B19" s="2">
        <f>B18+1</f>
        <v>2</v>
      </c>
      <c r="C19" s="16" t="s">
        <v>204</v>
      </c>
      <c r="D19" s="2" t="s">
        <v>38</v>
      </c>
      <c r="E19" s="16" t="s">
        <v>30</v>
      </c>
      <c r="F19" s="151"/>
      <c r="G19" s="151"/>
      <c r="H19" s="151"/>
      <c r="I19" s="151"/>
      <c r="J19" s="151"/>
      <c r="K19" s="151"/>
      <c r="L19" s="151"/>
      <c r="M19" s="3"/>
    </row>
    <row r="20" spans="2:13" ht="15" x14ac:dyDescent="0.2">
      <c r="B20" s="2">
        <f>B19+1</f>
        <v>3</v>
      </c>
      <c r="C20" s="16" t="s">
        <v>202</v>
      </c>
      <c r="D20" s="2" t="s">
        <v>176</v>
      </c>
      <c r="E20" s="16"/>
      <c r="F20" s="151"/>
      <c r="G20" s="151"/>
      <c r="H20" s="151"/>
      <c r="I20" s="151"/>
      <c r="J20" s="151"/>
      <c r="K20" s="151"/>
      <c r="L20" s="151"/>
      <c r="M20" s="3"/>
    </row>
    <row r="21" spans="2:13" ht="15" x14ac:dyDescent="0.2">
      <c r="B21" s="14" t="s">
        <v>56</v>
      </c>
      <c r="C21" s="14" t="s">
        <v>291</v>
      </c>
      <c r="D21" s="2" t="s">
        <v>176</v>
      </c>
      <c r="E21" s="3"/>
      <c r="F21" s="155">
        <f>F16+F20</f>
        <v>344.46</v>
      </c>
      <c r="G21" s="151">
        <f t="shared" ref="G21:L21" ca="1" si="3">G16+G20</f>
        <v>518.04000000000008</v>
      </c>
      <c r="H21" s="151">
        <f t="shared" ca="1" si="3"/>
        <v>518.04000000000008</v>
      </c>
      <c r="I21" s="151">
        <f t="shared" si="3"/>
        <v>385.8</v>
      </c>
      <c r="J21" s="151">
        <f t="shared" ca="1" si="3"/>
        <v>525.6099999999999</v>
      </c>
      <c r="K21" s="151">
        <f t="shared" si="3"/>
        <v>375.7</v>
      </c>
      <c r="L21" s="151">
        <f t="shared" ca="1" si="3"/>
        <v>528.22</v>
      </c>
      <c r="M21" s="3"/>
    </row>
    <row r="22" spans="2:13" x14ac:dyDescent="0.2">
      <c r="F22" s="128"/>
    </row>
  </sheetData>
  <mergeCells count="8">
    <mergeCell ref="D6:D8"/>
    <mergeCell ref="B6:B8"/>
    <mergeCell ref="C6:C8"/>
    <mergeCell ref="E6:E8"/>
    <mergeCell ref="M6:M8"/>
    <mergeCell ref="F6:H6"/>
    <mergeCell ref="I6:J6"/>
    <mergeCell ref="K6:L6"/>
  </mergeCells>
  <pageMargins left="0.23" right="0.23" top="0.92" bottom="1" header="0.5" footer="0.5"/>
  <pageSetup paperSize="9" scale="8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6"/>
  <sheetViews>
    <sheetView showGridLines="0" view="pageBreakPreview" zoomScale="95" zoomScaleNormal="95" zoomScaleSheetLayoutView="95" workbookViewId="0">
      <selection activeCell="P11" sqref="P11"/>
    </sheetView>
  </sheetViews>
  <sheetFormatPr defaultColWidth="9.28515625" defaultRowHeight="14.25" x14ac:dyDescent="0.2"/>
  <cols>
    <col min="1" max="1" width="3.28515625" style="5" customWidth="1"/>
    <col min="2" max="2" width="5.7109375" style="5" customWidth="1"/>
    <col min="3" max="3" width="20.7109375" style="5" customWidth="1"/>
    <col min="4" max="4" width="11.85546875" style="5" customWidth="1"/>
    <col min="5" max="5" width="11.5703125" style="5" customWidth="1"/>
    <col min="6" max="6" width="11.7109375" style="5" customWidth="1"/>
    <col min="7" max="7" width="10.7109375" style="5" customWidth="1"/>
    <col min="8" max="8" width="9.5703125" style="5" customWidth="1"/>
    <col min="9" max="10" width="10.28515625" style="5" customWidth="1"/>
    <col min="11" max="11" width="10" style="5" customWidth="1"/>
    <col min="12" max="16384" width="9.28515625" style="5"/>
  </cols>
  <sheetData>
    <row r="1" spans="2:11" ht="15" x14ac:dyDescent="0.2">
      <c r="C1" s="36"/>
      <c r="D1" s="36"/>
      <c r="E1" s="36"/>
      <c r="F1" s="36"/>
      <c r="G1" s="36"/>
      <c r="I1" s="33"/>
      <c r="J1" s="33"/>
      <c r="K1" s="36"/>
    </row>
    <row r="2" spans="2:11" ht="15" x14ac:dyDescent="0.2">
      <c r="B2" s="229" t="s">
        <v>298</v>
      </c>
      <c r="C2" s="229"/>
      <c r="D2" s="229"/>
      <c r="E2" s="229"/>
      <c r="F2" s="229"/>
      <c r="G2" s="229"/>
      <c r="H2" s="229"/>
      <c r="I2" s="229"/>
      <c r="J2" s="229"/>
      <c r="K2" s="229"/>
    </row>
    <row r="3" spans="2:11" ht="15" x14ac:dyDescent="0.2">
      <c r="B3" s="35"/>
      <c r="C3" s="35"/>
      <c r="D3" s="35"/>
      <c r="E3" s="35"/>
      <c r="F3" s="35" t="str">
        <f>'F1'!$F$3</f>
        <v>SLBHES</v>
      </c>
      <c r="G3" s="35"/>
      <c r="H3" s="35"/>
      <c r="I3" s="35"/>
      <c r="J3" s="35"/>
      <c r="K3" s="35"/>
    </row>
    <row r="4" spans="2:11" ht="15" x14ac:dyDescent="0.2">
      <c r="B4" s="229" t="s">
        <v>278</v>
      </c>
      <c r="C4" s="229"/>
      <c r="D4" s="229"/>
      <c r="E4" s="229"/>
      <c r="F4" s="229"/>
      <c r="G4" s="229"/>
      <c r="H4" s="229"/>
      <c r="I4" s="229"/>
      <c r="J4" s="229"/>
      <c r="K4" s="229"/>
    </row>
    <row r="5" spans="2:11" ht="15" x14ac:dyDescent="0.2"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2:11" ht="15" x14ac:dyDescent="0.2">
      <c r="B6" s="230" t="s">
        <v>52</v>
      </c>
      <c r="C6" s="230"/>
      <c r="D6" s="230"/>
      <c r="E6" s="230"/>
      <c r="F6" s="230"/>
      <c r="G6" s="230"/>
      <c r="H6" s="230"/>
      <c r="I6" s="230"/>
      <c r="J6" s="230"/>
      <c r="K6" s="230"/>
    </row>
    <row r="7" spans="2:11" ht="15" x14ac:dyDescent="0.2">
      <c r="K7" s="26" t="s">
        <v>4</v>
      </c>
    </row>
    <row r="8" spans="2:11" ht="15" customHeight="1" x14ac:dyDescent="0.2">
      <c r="B8" s="231" t="s">
        <v>164</v>
      </c>
      <c r="C8" s="231" t="s">
        <v>14</v>
      </c>
      <c r="D8" s="232" t="s">
        <v>1</v>
      </c>
      <c r="E8" s="226" t="s">
        <v>299</v>
      </c>
      <c r="F8" s="227"/>
      <c r="G8" s="228"/>
      <c r="H8" s="226" t="s">
        <v>300</v>
      </c>
      <c r="I8" s="228"/>
      <c r="J8" s="226" t="s">
        <v>331</v>
      </c>
      <c r="K8" s="228"/>
    </row>
    <row r="9" spans="2:11" ht="75" x14ac:dyDescent="0.2">
      <c r="B9" s="231"/>
      <c r="C9" s="231"/>
      <c r="D9" s="233"/>
      <c r="E9" s="15" t="s">
        <v>271</v>
      </c>
      <c r="F9" s="15" t="s">
        <v>206</v>
      </c>
      <c r="G9" s="15" t="s">
        <v>329</v>
      </c>
      <c r="H9" s="15" t="s">
        <v>271</v>
      </c>
      <c r="I9" s="15" t="s">
        <v>205</v>
      </c>
      <c r="J9" s="15" t="s">
        <v>271</v>
      </c>
      <c r="K9" s="15" t="s">
        <v>205</v>
      </c>
    </row>
    <row r="10" spans="2:11" ht="30" x14ac:dyDescent="0.2">
      <c r="B10" s="231"/>
      <c r="C10" s="231"/>
      <c r="D10" s="234"/>
      <c r="E10" s="15" t="s">
        <v>10</v>
      </c>
      <c r="F10" s="15" t="s">
        <v>12</v>
      </c>
      <c r="G10" s="15" t="s">
        <v>197</v>
      </c>
      <c r="H10" s="15" t="s">
        <v>10</v>
      </c>
      <c r="I10" s="15" t="s">
        <v>327</v>
      </c>
      <c r="J10" s="15" t="s">
        <v>10</v>
      </c>
      <c r="K10" s="15" t="s">
        <v>327</v>
      </c>
    </row>
    <row r="11" spans="2:11" x14ac:dyDescent="0.2">
      <c r="B11" s="20">
        <v>1</v>
      </c>
      <c r="C11" s="29" t="s">
        <v>53</v>
      </c>
      <c r="D11" s="29" t="s">
        <v>20</v>
      </c>
      <c r="E11" s="116"/>
      <c r="F11" s="130">
        <f>F2.1!D35</f>
        <v>153.99</v>
      </c>
      <c r="G11" s="130">
        <f>F11</f>
        <v>153.99</v>
      </c>
      <c r="H11" s="116"/>
      <c r="I11" s="130">
        <f>F2.1!E35</f>
        <v>163.44</v>
      </c>
      <c r="J11" s="116"/>
      <c r="K11" s="130">
        <f>F2.1!F35</f>
        <v>169.98</v>
      </c>
    </row>
    <row r="12" spans="2:11" x14ac:dyDescent="0.2">
      <c r="B12" s="20">
        <f>B11+1</f>
        <v>2</v>
      </c>
      <c r="C12" s="37" t="s">
        <v>207</v>
      </c>
      <c r="D12" s="37" t="s">
        <v>21</v>
      </c>
      <c r="E12" s="121"/>
      <c r="F12" s="131">
        <f>F2.2!D38</f>
        <v>10.59</v>
      </c>
      <c r="G12" s="130">
        <f t="shared" ref="G12:G13" si="0">F12</f>
        <v>10.59</v>
      </c>
      <c r="H12" s="116"/>
      <c r="I12" s="130">
        <f>F2.2!E38</f>
        <v>11.97</v>
      </c>
      <c r="J12" s="116"/>
      <c r="K12" s="130">
        <f>F2.2!F38</f>
        <v>12.68</v>
      </c>
    </row>
    <row r="13" spans="2:11" x14ac:dyDescent="0.2">
      <c r="B13" s="20">
        <f>B12+1</f>
        <v>3</v>
      </c>
      <c r="C13" s="29" t="s">
        <v>180</v>
      </c>
      <c r="D13" s="29" t="s">
        <v>233</v>
      </c>
      <c r="E13" s="116"/>
      <c r="F13" s="130">
        <f>F2.3!D18</f>
        <v>24.55</v>
      </c>
      <c r="G13" s="130">
        <f t="shared" si="0"/>
        <v>24.55</v>
      </c>
      <c r="H13" s="116"/>
      <c r="I13" s="130">
        <f>F2.3!E18</f>
        <v>26.09</v>
      </c>
      <c r="J13" s="116"/>
      <c r="K13" s="130">
        <f>F2.3!F18</f>
        <v>27.65</v>
      </c>
    </row>
    <row r="14" spans="2:11" ht="15" x14ac:dyDescent="0.2">
      <c r="B14" s="20">
        <f>B13+1</f>
        <v>4</v>
      </c>
      <c r="C14" s="29" t="s">
        <v>54</v>
      </c>
      <c r="D14" s="29"/>
      <c r="E14" s="132">
        <v>100.18</v>
      </c>
      <c r="F14" s="132">
        <f t="shared" ref="F14:K14" si="1">ROUND(SUM(F11:F13),2)</f>
        <v>189.13</v>
      </c>
      <c r="G14" s="132">
        <f t="shared" si="1"/>
        <v>189.13</v>
      </c>
      <c r="H14" s="132">
        <v>106.14</v>
      </c>
      <c r="I14" s="132">
        <f t="shared" si="1"/>
        <v>201.5</v>
      </c>
      <c r="J14" s="132">
        <v>112.12</v>
      </c>
      <c r="K14" s="132">
        <f t="shared" si="1"/>
        <v>210.31</v>
      </c>
    </row>
    <row r="15" spans="2:11" x14ac:dyDescent="0.2">
      <c r="B15" s="49" t="s">
        <v>208</v>
      </c>
      <c r="C15" s="50"/>
      <c r="D15" s="47"/>
      <c r="E15" s="147"/>
      <c r="F15" s="47"/>
      <c r="G15" s="48"/>
      <c r="H15" s="48"/>
      <c r="I15" s="48"/>
      <c r="J15" s="48"/>
      <c r="K15" s="48"/>
    </row>
    <row r="16" spans="2:11" x14ac:dyDescent="0.2">
      <c r="B16" s="51">
        <v>1</v>
      </c>
      <c r="C16" s="50" t="s">
        <v>209</v>
      </c>
    </row>
  </sheetData>
  <mergeCells count="9">
    <mergeCell ref="B4:K4"/>
    <mergeCell ref="B2:K2"/>
    <mergeCell ref="B6:K6"/>
    <mergeCell ref="B8:B10"/>
    <mergeCell ref="C8:C10"/>
    <mergeCell ref="H8:I8"/>
    <mergeCell ref="E8:G8"/>
    <mergeCell ref="D8:D10"/>
    <mergeCell ref="J8:K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7"/>
  <sheetViews>
    <sheetView showGridLines="0" view="pageBreakPreview" topLeftCell="A23" zoomScale="98" zoomScaleNormal="95" zoomScaleSheetLayoutView="98" workbookViewId="0">
      <selection activeCell="F35" sqref="F35"/>
    </sheetView>
  </sheetViews>
  <sheetFormatPr defaultColWidth="9.28515625" defaultRowHeight="14.25" x14ac:dyDescent="0.2"/>
  <cols>
    <col min="1" max="1" width="4.140625" style="13" customWidth="1"/>
    <col min="2" max="2" width="7" style="13" customWidth="1"/>
    <col min="3" max="3" width="40.7109375" style="13" customWidth="1"/>
    <col min="4" max="4" width="12.7109375" style="13" customWidth="1"/>
    <col min="5" max="5" width="13.28515625" style="13" customWidth="1"/>
    <col min="6" max="6" width="11.85546875" style="13" customWidth="1"/>
    <col min="7" max="7" width="9.28515625" style="13"/>
    <col min="8" max="8" width="16.28515625" style="13" bestFit="1" customWidth="1"/>
    <col min="9" max="16384" width="9.28515625" style="13"/>
  </cols>
  <sheetData>
    <row r="1" spans="2:8" ht="14.25" customHeight="1" x14ac:dyDescent="0.2">
      <c r="B1" s="229" t="s">
        <v>298</v>
      </c>
      <c r="C1" s="229"/>
      <c r="D1" s="229"/>
      <c r="E1" s="229"/>
      <c r="F1" s="229"/>
    </row>
    <row r="2" spans="2:8" ht="14.25" customHeight="1" x14ac:dyDescent="0.2">
      <c r="B2" s="229" t="str">
        <f>'F1'!$F$3</f>
        <v>SLBHES</v>
      </c>
      <c r="C2" s="229"/>
      <c r="D2" s="229"/>
      <c r="E2" s="229"/>
      <c r="F2" s="229"/>
    </row>
    <row r="3" spans="2:8" s="4" customFormat="1" ht="14.25" customHeight="1" x14ac:dyDescent="0.2">
      <c r="B3" s="229" t="s">
        <v>234</v>
      </c>
      <c r="C3" s="229"/>
      <c r="D3" s="229"/>
      <c r="E3" s="229"/>
      <c r="F3" s="229"/>
    </row>
    <row r="4" spans="2:8" s="4" customFormat="1" ht="3" customHeight="1" x14ac:dyDescent="0.25">
      <c r="C4" s="40"/>
      <c r="D4" s="41"/>
      <c r="E4" s="41"/>
    </row>
    <row r="5" spans="2:8" ht="15" x14ac:dyDescent="0.2">
      <c r="F5" s="26" t="s">
        <v>4</v>
      </c>
    </row>
    <row r="6" spans="2:8" ht="12.75" customHeight="1" x14ac:dyDescent="0.2">
      <c r="B6" s="222" t="s">
        <v>2</v>
      </c>
      <c r="C6" s="222" t="s">
        <v>14</v>
      </c>
      <c r="D6" s="15" t="s">
        <v>299</v>
      </c>
      <c r="E6" s="15" t="s">
        <v>300</v>
      </c>
      <c r="F6" s="23" t="s">
        <v>331</v>
      </c>
    </row>
    <row r="7" spans="2:8" ht="15" x14ac:dyDescent="0.2">
      <c r="B7" s="222"/>
      <c r="C7" s="222"/>
      <c r="D7" s="15" t="s">
        <v>206</v>
      </c>
      <c r="E7" s="15" t="s">
        <v>205</v>
      </c>
      <c r="F7" s="15" t="s">
        <v>205</v>
      </c>
    </row>
    <row r="8" spans="2:8" ht="15" x14ac:dyDescent="0.2">
      <c r="B8" s="235"/>
      <c r="C8" s="222"/>
      <c r="D8" s="15" t="s">
        <v>12</v>
      </c>
      <c r="E8" s="15" t="s">
        <v>5</v>
      </c>
      <c r="F8" s="15" t="s">
        <v>8</v>
      </c>
    </row>
    <row r="9" spans="2:8" ht="18" customHeight="1" x14ac:dyDescent="0.2">
      <c r="B9" s="2">
        <v>1</v>
      </c>
      <c r="C9" s="42" t="s">
        <v>57</v>
      </c>
      <c r="D9" s="190">
        <v>67.784428375138106</v>
      </c>
      <c r="E9" s="190">
        <v>70.976119875424544</v>
      </c>
      <c r="F9" s="190">
        <v>73.815164670441533</v>
      </c>
      <c r="H9" s="133"/>
    </row>
    <row r="10" spans="2:8" ht="18" customHeight="1" x14ac:dyDescent="0.2">
      <c r="B10" s="2">
        <v>2</v>
      </c>
      <c r="C10" s="42" t="s">
        <v>58</v>
      </c>
      <c r="D10" s="190">
        <v>8.9395563716944011</v>
      </c>
      <c r="E10" s="190">
        <v>9.3644682216496609</v>
      </c>
      <c r="F10" s="190">
        <v>9.7390469505156485</v>
      </c>
      <c r="H10" s="133"/>
    </row>
    <row r="11" spans="2:8" ht="18" customHeight="1" x14ac:dyDescent="0.2">
      <c r="B11" s="2">
        <v>3</v>
      </c>
      <c r="C11" s="3" t="s">
        <v>59</v>
      </c>
      <c r="D11" s="190">
        <v>4.1419305594281219</v>
      </c>
      <c r="E11" s="190">
        <v>4.6176325949031902</v>
      </c>
      <c r="F11" s="190">
        <v>4.8023378986993182</v>
      </c>
      <c r="H11" s="133"/>
    </row>
    <row r="12" spans="2:8" ht="18" customHeight="1" x14ac:dyDescent="0.2">
      <c r="B12" s="2">
        <v>4</v>
      </c>
      <c r="C12" s="42" t="s">
        <v>60</v>
      </c>
      <c r="D12" s="190">
        <v>0.47711567500638924</v>
      </c>
      <c r="E12" s="190">
        <v>0.49692547710541307</v>
      </c>
      <c r="F12" s="190">
        <v>0.51680249618962959</v>
      </c>
      <c r="H12" s="133"/>
    </row>
    <row r="13" spans="2:8" ht="18" customHeight="1" x14ac:dyDescent="0.2">
      <c r="B13" s="2">
        <v>5</v>
      </c>
      <c r="C13" s="42" t="s">
        <v>61</v>
      </c>
      <c r="D13" s="190">
        <v>0</v>
      </c>
      <c r="E13" s="190">
        <v>0</v>
      </c>
      <c r="F13" s="190">
        <v>0</v>
      </c>
      <c r="H13" s="133"/>
    </row>
    <row r="14" spans="2:8" ht="18" customHeight="1" x14ac:dyDescent="0.2">
      <c r="B14" s="2">
        <v>6</v>
      </c>
      <c r="C14" s="3" t="s">
        <v>62</v>
      </c>
      <c r="D14" s="190">
        <v>5.5164577939749488</v>
      </c>
      <c r="E14" s="190">
        <v>5.193898367237014</v>
      </c>
      <c r="F14" s="190">
        <v>5.4016543019264951</v>
      </c>
      <c r="H14" s="133"/>
    </row>
    <row r="15" spans="2:8" ht="18" customHeight="1" x14ac:dyDescent="0.2">
      <c r="B15" s="2">
        <v>7</v>
      </c>
      <c r="C15" s="42" t="s">
        <v>63</v>
      </c>
      <c r="D15" s="190">
        <v>10.131096949453006</v>
      </c>
      <c r="E15" s="190">
        <v>10.476871267071896</v>
      </c>
      <c r="F15" s="190">
        <v>10.895946117754772</v>
      </c>
      <c r="H15" s="133"/>
    </row>
    <row r="16" spans="2:8" ht="18" customHeight="1" x14ac:dyDescent="0.2">
      <c r="B16" s="2">
        <v>8</v>
      </c>
      <c r="C16" s="42" t="s">
        <v>64</v>
      </c>
      <c r="D16" s="190">
        <v>2.0494210736460516</v>
      </c>
      <c r="E16" s="190">
        <v>2.1480198072800891</v>
      </c>
      <c r="F16" s="190">
        <v>2.2339405995712927</v>
      </c>
      <c r="H16" s="133"/>
    </row>
    <row r="17" spans="2:8" ht="18" customHeight="1" x14ac:dyDescent="0.2">
      <c r="B17" s="2">
        <v>9</v>
      </c>
      <c r="C17" s="42" t="s">
        <v>65</v>
      </c>
      <c r="D17" s="190">
        <v>0</v>
      </c>
      <c r="E17" s="190">
        <v>0</v>
      </c>
      <c r="F17" s="190">
        <v>0</v>
      </c>
      <c r="H17" s="133"/>
    </row>
    <row r="18" spans="2:8" ht="18" customHeight="1" x14ac:dyDescent="0.2">
      <c r="B18" s="2">
        <v>10</v>
      </c>
      <c r="C18" s="42" t="s">
        <v>66</v>
      </c>
      <c r="D18" s="190">
        <v>0</v>
      </c>
      <c r="E18" s="190">
        <v>0</v>
      </c>
      <c r="F18" s="190">
        <v>0</v>
      </c>
      <c r="H18" s="133"/>
    </row>
    <row r="19" spans="2:8" ht="18" customHeight="1" x14ac:dyDescent="0.2">
      <c r="B19" s="2">
        <v>11</v>
      </c>
      <c r="C19" s="42" t="s">
        <v>67</v>
      </c>
      <c r="D19" s="190">
        <v>3.270803887061159E-3</v>
      </c>
      <c r="E19" s="190">
        <v>3.6731051708765623E-3</v>
      </c>
      <c r="F19" s="190">
        <v>3.820029377711625E-3</v>
      </c>
      <c r="H19" s="133"/>
    </row>
    <row r="20" spans="2:8" ht="18" customHeight="1" x14ac:dyDescent="0.2">
      <c r="B20" s="2">
        <v>12</v>
      </c>
      <c r="C20" s="42" t="s">
        <v>68</v>
      </c>
      <c r="D20" s="190">
        <v>2.3921399307187716</v>
      </c>
      <c r="E20" s="190">
        <v>2.613450007040603</v>
      </c>
      <c r="F20" s="190">
        <v>2.7179880073222273</v>
      </c>
      <c r="H20" s="133"/>
    </row>
    <row r="21" spans="2:8" ht="18" customHeight="1" x14ac:dyDescent="0.2">
      <c r="B21" s="2">
        <v>13</v>
      </c>
      <c r="C21" s="42" t="s">
        <v>69</v>
      </c>
      <c r="D21" s="190">
        <v>0</v>
      </c>
      <c r="E21" s="190">
        <v>0</v>
      </c>
      <c r="F21" s="190">
        <v>0</v>
      </c>
      <c r="H21" s="133"/>
    </row>
    <row r="22" spans="2:8" ht="18" customHeight="1" x14ac:dyDescent="0.2">
      <c r="B22" s="2">
        <v>14</v>
      </c>
      <c r="C22" s="42" t="s">
        <v>70</v>
      </c>
      <c r="D22" s="190">
        <v>0</v>
      </c>
      <c r="E22" s="190">
        <v>0</v>
      </c>
      <c r="F22" s="190">
        <v>0</v>
      </c>
      <c r="H22" s="133"/>
    </row>
    <row r="23" spans="2:8" ht="18" customHeight="1" x14ac:dyDescent="0.2">
      <c r="B23" s="2">
        <v>15</v>
      </c>
      <c r="C23" s="42" t="s">
        <v>71</v>
      </c>
      <c r="D23" s="190">
        <v>0</v>
      </c>
      <c r="E23" s="190">
        <v>0</v>
      </c>
      <c r="F23" s="190">
        <v>0</v>
      </c>
      <c r="H23" s="133"/>
    </row>
    <row r="24" spans="2:8" ht="18" customHeight="1" x14ac:dyDescent="0.2">
      <c r="B24" s="2">
        <v>16</v>
      </c>
      <c r="C24" s="42" t="s">
        <v>72</v>
      </c>
      <c r="D24" s="190">
        <v>0</v>
      </c>
      <c r="E24" s="190">
        <v>0</v>
      </c>
      <c r="F24" s="190">
        <v>0</v>
      </c>
      <c r="H24" s="133"/>
    </row>
    <row r="25" spans="2:8" ht="18" customHeight="1" x14ac:dyDescent="0.2">
      <c r="B25" s="2">
        <v>17</v>
      </c>
      <c r="C25" s="42" t="s">
        <v>73</v>
      </c>
      <c r="D25" s="127">
        <f>SUM(D9:D24)</f>
        <v>101.43541753294687</v>
      </c>
      <c r="E25" s="127">
        <f t="shared" ref="E25:F25" si="0">SUM(E9:E24)</f>
        <v>105.89105872288327</v>
      </c>
      <c r="F25" s="127">
        <f t="shared" si="0"/>
        <v>110.12670107179864</v>
      </c>
      <c r="H25" s="134"/>
    </row>
    <row r="26" spans="2:8" ht="18" customHeight="1" x14ac:dyDescent="0.2">
      <c r="B26" s="2">
        <v>18</v>
      </c>
      <c r="C26" s="42" t="s">
        <v>74</v>
      </c>
      <c r="D26" s="190">
        <v>0</v>
      </c>
      <c r="E26" s="190">
        <v>0</v>
      </c>
      <c r="F26" s="190">
        <v>0</v>
      </c>
    </row>
    <row r="27" spans="2:8" ht="18" customHeight="1" x14ac:dyDescent="0.2">
      <c r="B27" s="2">
        <f>+B26+0.1</f>
        <v>18.100000000000001</v>
      </c>
      <c r="C27" s="42" t="s">
        <v>75</v>
      </c>
      <c r="D27" s="190">
        <v>0</v>
      </c>
      <c r="E27" s="190">
        <v>0</v>
      </c>
      <c r="F27" s="190">
        <v>0</v>
      </c>
    </row>
    <row r="28" spans="2:8" ht="18" customHeight="1" x14ac:dyDescent="0.2">
      <c r="B28" s="2">
        <f>+B27+0.1</f>
        <v>18.200000000000003</v>
      </c>
      <c r="C28" s="42" t="s">
        <v>76</v>
      </c>
      <c r="D28" s="190">
        <v>6.2385978733276595</v>
      </c>
      <c r="E28" s="190">
        <v>6.5914496281543018</v>
      </c>
      <c r="F28" s="190">
        <v>6.8551076132804738</v>
      </c>
    </row>
    <row r="29" spans="2:8" ht="18" customHeight="1" x14ac:dyDescent="0.2">
      <c r="B29" s="2">
        <f>+B28+0.1</f>
        <v>18.300000000000004</v>
      </c>
      <c r="C29" s="42" t="s">
        <v>77</v>
      </c>
      <c r="D29" s="190">
        <v>0</v>
      </c>
      <c r="E29" s="190">
        <v>0</v>
      </c>
      <c r="F29" s="190">
        <v>0</v>
      </c>
    </row>
    <row r="30" spans="2:8" ht="18" customHeight="1" x14ac:dyDescent="0.2">
      <c r="B30" s="2">
        <f>+B29+0.1</f>
        <v>18.400000000000006</v>
      </c>
      <c r="C30" s="42" t="s">
        <v>78</v>
      </c>
      <c r="D30" s="190">
        <v>46.316417968720891</v>
      </c>
      <c r="E30" s="190">
        <v>50.958765212198564</v>
      </c>
      <c r="F30" s="190">
        <v>52.99711582068651</v>
      </c>
    </row>
    <row r="31" spans="2:8" ht="27" customHeight="1" x14ac:dyDescent="0.2">
      <c r="B31" s="2">
        <v>19</v>
      </c>
      <c r="C31" s="46" t="s">
        <v>290</v>
      </c>
      <c r="D31" s="190">
        <v>0</v>
      </c>
      <c r="E31" s="190">
        <v>0</v>
      </c>
      <c r="F31" s="190">
        <v>0</v>
      </c>
    </row>
    <row r="32" spans="2:8" ht="18" customHeight="1" x14ac:dyDescent="0.2">
      <c r="B32" s="2">
        <v>20</v>
      </c>
      <c r="C32" s="42" t="s">
        <v>79</v>
      </c>
      <c r="D32" s="190">
        <v>0</v>
      </c>
      <c r="E32" s="190">
        <v>0</v>
      </c>
      <c r="F32" s="190">
        <v>0</v>
      </c>
    </row>
    <row r="33" spans="2:6" ht="18" customHeight="1" x14ac:dyDescent="0.25">
      <c r="B33" s="14">
        <v>21</v>
      </c>
      <c r="C33" s="43" t="s">
        <v>80</v>
      </c>
      <c r="D33" s="115">
        <f>SUM(D25:D32)</f>
        <v>153.99043337499543</v>
      </c>
      <c r="E33" s="115">
        <f>SUM(E25:E32)</f>
        <v>163.44127356323614</v>
      </c>
      <c r="F33" s="115">
        <f>SUM(F25:F32)</f>
        <v>169.9789245057656</v>
      </c>
    </row>
    <row r="34" spans="2:6" ht="18" customHeight="1" x14ac:dyDescent="0.25">
      <c r="B34" s="2">
        <v>22</v>
      </c>
      <c r="C34" s="42" t="s">
        <v>13</v>
      </c>
      <c r="D34" s="185"/>
      <c r="E34" s="186"/>
      <c r="F34" s="186"/>
    </row>
    <row r="35" spans="2:6" ht="18" customHeight="1" x14ac:dyDescent="0.2">
      <c r="B35" s="14">
        <v>23</v>
      </c>
      <c r="C35" s="19" t="s">
        <v>81</v>
      </c>
      <c r="D35" s="160">
        <f>ROUND(D33-D34,2)</f>
        <v>153.99</v>
      </c>
      <c r="E35" s="160">
        <f t="shared" ref="E35:F35" si="1">ROUND(E33-E34,2)</f>
        <v>163.44</v>
      </c>
      <c r="F35" s="160">
        <f t="shared" si="1"/>
        <v>169.98</v>
      </c>
    </row>
    <row r="36" spans="2:6" ht="27.75" customHeight="1" x14ac:dyDescent="0.2">
      <c r="B36" s="44"/>
      <c r="D36" s="135"/>
    </row>
    <row r="37" spans="2:6" x14ac:dyDescent="0.2">
      <c r="B37" s="45"/>
    </row>
  </sheetData>
  <mergeCells count="5">
    <mergeCell ref="B6:B8"/>
    <mergeCell ref="C6:C8"/>
    <mergeCell ref="B1:F1"/>
    <mergeCell ref="B3:F3"/>
    <mergeCell ref="B2:F2"/>
  </mergeCells>
  <pageMargins left="1" right="0.25" top="0.25" bottom="0.25" header="0.5" footer="0.5"/>
  <pageSetup paperSize="9" scale="95" fitToHeight="0" orientation="landscape" r:id="rId1"/>
  <headerFooter alignWithMargins="0"/>
  <rowBreaks count="1" manualBreakCount="1">
    <brk id="35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8"/>
  <sheetViews>
    <sheetView showGridLines="0" view="pageBreakPreview" topLeftCell="A19" zoomScale="96" zoomScaleSheetLayoutView="96" workbookViewId="0">
      <selection activeCell="F38" sqref="F38"/>
    </sheetView>
  </sheetViews>
  <sheetFormatPr defaultColWidth="9.28515625" defaultRowHeight="14.25" x14ac:dyDescent="0.2"/>
  <cols>
    <col min="1" max="1" width="2" style="13" customWidth="1"/>
    <col min="2" max="2" width="7" style="13" customWidth="1"/>
    <col min="3" max="3" width="50.28515625" style="13" customWidth="1"/>
    <col min="4" max="5" width="15.7109375" style="13" customWidth="1"/>
    <col min="6" max="6" width="16.140625" style="13" customWidth="1"/>
    <col min="7" max="16384" width="9.28515625" style="13"/>
  </cols>
  <sheetData>
    <row r="1" spans="2:6" ht="14.25" customHeight="1" x14ac:dyDescent="0.2">
      <c r="B1" s="229" t="s">
        <v>298</v>
      </c>
      <c r="C1" s="229"/>
      <c r="D1" s="229"/>
      <c r="E1" s="229"/>
      <c r="F1" s="229"/>
    </row>
    <row r="2" spans="2:6" ht="14.25" customHeight="1" x14ac:dyDescent="0.2">
      <c r="B2" s="229" t="str">
        <f>'F1'!$F$3</f>
        <v>SLBHES</v>
      </c>
      <c r="C2" s="229"/>
      <c r="D2" s="229"/>
      <c r="E2" s="229"/>
      <c r="F2" s="229"/>
    </row>
    <row r="3" spans="2:6" s="4" customFormat="1" ht="15" x14ac:dyDescent="0.2">
      <c r="B3" s="229" t="s">
        <v>301</v>
      </c>
      <c r="C3" s="229"/>
      <c r="D3" s="229"/>
      <c r="E3" s="229"/>
      <c r="F3" s="229"/>
    </row>
    <row r="4" spans="2:6" ht="15" x14ac:dyDescent="0.2">
      <c r="F4" s="26" t="s">
        <v>4</v>
      </c>
    </row>
    <row r="5" spans="2:6" ht="12.75" customHeight="1" x14ac:dyDescent="0.2">
      <c r="B5" s="224" t="s">
        <v>164</v>
      </c>
      <c r="C5" s="222" t="s">
        <v>14</v>
      </c>
      <c r="D5" s="15" t="s">
        <v>299</v>
      </c>
      <c r="E5" s="15" t="s">
        <v>300</v>
      </c>
      <c r="F5" s="23" t="s">
        <v>331</v>
      </c>
    </row>
    <row r="6" spans="2:6" ht="15" x14ac:dyDescent="0.2">
      <c r="B6" s="224"/>
      <c r="C6" s="222"/>
      <c r="D6" s="15" t="s">
        <v>206</v>
      </c>
      <c r="E6" s="15" t="s">
        <v>205</v>
      </c>
      <c r="F6" s="15" t="s">
        <v>205</v>
      </c>
    </row>
    <row r="7" spans="2:6" ht="15" x14ac:dyDescent="0.2">
      <c r="B7" s="224"/>
      <c r="C7" s="222"/>
      <c r="D7" s="15" t="s">
        <v>12</v>
      </c>
      <c r="E7" s="15" t="s">
        <v>5</v>
      </c>
      <c r="F7" s="15" t="s">
        <v>8</v>
      </c>
    </row>
    <row r="8" spans="2:6" x14ac:dyDescent="0.2">
      <c r="B8" s="3">
        <v>1</v>
      </c>
      <c r="C8" s="52" t="s">
        <v>82</v>
      </c>
      <c r="D8" s="190">
        <v>0.12811190583377602</v>
      </c>
      <c r="E8" s="190">
        <v>9.1757271681109989E-2</v>
      </c>
      <c r="F8" s="190">
        <v>9.7262707981976587E-2</v>
      </c>
    </row>
    <row r="9" spans="2:6" x14ac:dyDescent="0.2">
      <c r="B9" s="3">
        <v>2</v>
      </c>
      <c r="C9" s="53" t="s">
        <v>83</v>
      </c>
      <c r="D9" s="190">
        <v>0</v>
      </c>
      <c r="E9" s="190">
        <v>0</v>
      </c>
      <c r="F9" s="190">
        <v>0</v>
      </c>
    </row>
    <row r="10" spans="2:6" x14ac:dyDescent="0.2">
      <c r="B10" s="3">
        <v>3</v>
      </c>
      <c r="C10" s="53" t="s">
        <v>84</v>
      </c>
      <c r="D10" s="190">
        <v>0.14109018606454973</v>
      </c>
      <c r="E10" s="190">
        <v>0.154472529551093</v>
      </c>
      <c r="F10" s="190">
        <v>0.16374088132415859</v>
      </c>
    </row>
    <row r="11" spans="2:6" x14ac:dyDescent="0.2">
      <c r="B11" s="3">
        <v>4</v>
      </c>
      <c r="C11" s="53" t="s">
        <v>85</v>
      </c>
      <c r="D11" s="190">
        <v>0.42567314134873052</v>
      </c>
      <c r="E11" s="190">
        <v>0.46688155656138947</v>
      </c>
      <c r="F11" s="190">
        <v>0.49489444995507287</v>
      </c>
    </row>
    <row r="12" spans="2:6" x14ac:dyDescent="0.2">
      <c r="B12" s="3">
        <v>5</v>
      </c>
      <c r="C12" s="53" t="s">
        <v>86</v>
      </c>
      <c r="D12" s="190">
        <v>2.7341192749002333E-2</v>
      </c>
      <c r="E12" s="190">
        <v>3.0104369825238342E-2</v>
      </c>
      <c r="F12" s="190">
        <v>3.1910632014752645E-2</v>
      </c>
    </row>
    <row r="13" spans="2:6" x14ac:dyDescent="0.2">
      <c r="B13" s="3">
        <v>6</v>
      </c>
      <c r="C13" s="53" t="s">
        <v>87</v>
      </c>
      <c r="D13" s="190">
        <v>8.4707557522105931E-2</v>
      </c>
      <c r="E13" s="190">
        <v>9.2898696742239606E-2</v>
      </c>
      <c r="F13" s="190">
        <v>9.8472618546773985E-2</v>
      </c>
    </row>
    <row r="14" spans="2:6" x14ac:dyDescent="0.2">
      <c r="B14" s="3">
        <v>7</v>
      </c>
      <c r="C14" s="53" t="s">
        <v>88</v>
      </c>
      <c r="D14" s="190">
        <v>2.0580058703258008</v>
      </c>
      <c r="E14" s="190">
        <v>2.0761892229074483</v>
      </c>
      <c r="F14" s="190">
        <v>2.2007605762818954</v>
      </c>
    </row>
    <row r="15" spans="2:6" x14ac:dyDescent="0.2">
      <c r="B15" s="3">
        <v>8</v>
      </c>
      <c r="C15" s="53" t="s">
        <v>89</v>
      </c>
      <c r="D15" s="190">
        <v>3.0756913795407454E-3</v>
      </c>
      <c r="E15" s="190">
        <v>3.3865293152351861E-3</v>
      </c>
      <c r="F15" s="190">
        <v>3.5897210741492975E-3</v>
      </c>
    </row>
    <row r="16" spans="2:6" x14ac:dyDescent="0.2">
      <c r="B16" s="3">
        <v>9</v>
      </c>
      <c r="C16" s="53" t="s">
        <v>90</v>
      </c>
      <c r="D16" s="190">
        <v>5.7141283827793226</v>
      </c>
      <c r="E16" s="190">
        <v>6.2555187420544032</v>
      </c>
      <c r="F16" s="190">
        <v>6.6308498665776678</v>
      </c>
    </row>
    <row r="17" spans="2:6" x14ac:dyDescent="0.2">
      <c r="B17" s="3">
        <v>10</v>
      </c>
      <c r="C17" s="53" t="s">
        <v>91</v>
      </c>
      <c r="D17" s="190">
        <v>0.5098697633724979</v>
      </c>
      <c r="E17" s="190">
        <v>0.56139862149329711</v>
      </c>
      <c r="F17" s="190">
        <v>0.59508253878289497</v>
      </c>
    </row>
    <row r="18" spans="2:6" x14ac:dyDescent="0.2">
      <c r="B18" s="3">
        <v>11</v>
      </c>
      <c r="C18" s="53" t="s">
        <v>92</v>
      </c>
      <c r="D18" s="190">
        <v>1.6383001123426756E-3</v>
      </c>
      <c r="E18" s="190">
        <v>1.7838160132572693E-3</v>
      </c>
      <c r="F18" s="190">
        <v>1.8908449740527055E-3</v>
      </c>
    </row>
    <row r="19" spans="2:6" x14ac:dyDescent="0.2">
      <c r="B19" s="3">
        <v>12</v>
      </c>
      <c r="C19" s="53" t="s">
        <v>93</v>
      </c>
      <c r="D19" s="190">
        <v>0</v>
      </c>
      <c r="E19" s="190">
        <v>0</v>
      </c>
      <c r="F19" s="190">
        <v>0</v>
      </c>
    </row>
    <row r="20" spans="2:6" x14ac:dyDescent="0.2">
      <c r="B20" s="3">
        <v>13</v>
      </c>
      <c r="C20" s="53" t="s">
        <v>94</v>
      </c>
      <c r="D20" s="190">
        <v>1.5518891222037765E-2</v>
      </c>
      <c r="E20" s="190">
        <v>1.6906543547098415E-2</v>
      </c>
      <c r="F20" s="190">
        <v>1.7920936159924322E-2</v>
      </c>
    </row>
    <row r="21" spans="2:6" x14ac:dyDescent="0.2">
      <c r="B21" s="3">
        <v>14</v>
      </c>
      <c r="C21" s="53" t="s">
        <v>95</v>
      </c>
      <c r="D21" s="190">
        <v>7.6278642799417748E-2</v>
      </c>
      <c r="E21" s="190">
        <v>0.16495953354424353</v>
      </c>
      <c r="F21" s="190">
        <v>0.17485710555689815</v>
      </c>
    </row>
    <row r="22" spans="2:6" x14ac:dyDescent="0.2">
      <c r="B22" s="3">
        <v>15</v>
      </c>
      <c r="C22" s="53" t="s">
        <v>96</v>
      </c>
      <c r="D22" s="190">
        <v>0</v>
      </c>
      <c r="E22" s="190">
        <v>0</v>
      </c>
      <c r="F22" s="190">
        <v>0</v>
      </c>
    </row>
    <row r="23" spans="2:6" x14ac:dyDescent="0.2">
      <c r="B23" s="3">
        <v>16</v>
      </c>
      <c r="C23" s="52" t="s">
        <v>97</v>
      </c>
      <c r="D23" s="190">
        <v>0</v>
      </c>
      <c r="E23" s="190">
        <v>0</v>
      </c>
      <c r="F23" s="190">
        <v>0</v>
      </c>
    </row>
    <row r="24" spans="2:6" x14ac:dyDescent="0.2">
      <c r="B24" s="3">
        <v>17</v>
      </c>
      <c r="C24" s="52" t="s">
        <v>98</v>
      </c>
      <c r="D24" s="190">
        <v>0</v>
      </c>
      <c r="E24" s="190">
        <v>0</v>
      </c>
      <c r="F24" s="190">
        <v>0</v>
      </c>
    </row>
    <row r="25" spans="2:6" x14ac:dyDescent="0.2">
      <c r="B25" s="3">
        <v>18</v>
      </c>
      <c r="C25" s="53" t="s">
        <v>99</v>
      </c>
      <c r="D25" s="190">
        <v>9.7148376290720082E-2</v>
      </c>
      <c r="E25" s="190">
        <v>0.10741337438272595</v>
      </c>
      <c r="F25" s="190">
        <v>0.11385817684568952</v>
      </c>
    </row>
    <row r="26" spans="2:6" x14ac:dyDescent="0.2">
      <c r="B26" s="3">
        <v>19</v>
      </c>
      <c r="C26" s="53" t="s">
        <v>100</v>
      </c>
      <c r="D26" s="190">
        <v>1.6203515767752825</v>
      </c>
      <c r="E26" s="190">
        <v>1.7360156648363105</v>
      </c>
      <c r="F26" s="190">
        <v>1.8401766047264894</v>
      </c>
    </row>
    <row r="27" spans="2:6" x14ac:dyDescent="0.2">
      <c r="B27" s="3">
        <v>20</v>
      </c>
      <c r="C27" s="53" t="s">
        <v>101</v>
      </c>
      <c r="D27" s="190">
        <v>0</v>
      </c>
      <c r="E27" s="190">
        <v>0</v>
      </c>
      <c r="F27" s="190">
        <v>0</v>
      </c>
    </row>
    <row r="28" spans="2:6" x14ac:dyDescent="0.2">
      <c r="B28" s="3">
        <v>21</v>
      </c>
      <c r="C28" s="53" t="s">
        <v>102</v>
      </c>
      <c r="D28" s="190">
        <v>0</v>
      </c>
      <c r="E28" s="190">
        <v>0</v>
      </c>
      <c r="F28" s="190">
        <v>0</v>
      </c>
    </row>
    <row r="29" spans="2:6" x14ac:dyDescent="0.2">
      <c r="B29" s="3">
        <v>22</v>
      </c>
      <c r="C29" s="53" t="s">
        <v>103</v>
      </c>
      <c r="D29" s="190">
        <v>6.7658136999210106E-6</v>
      </c>
      <c r="E29" s="190">
        <v>7.449585673197029E-6</v>
      </c>
      <c r="F29" s="190">
        <v>7.8965608135888513E-6</v>
      </c>
    </row>
    <row r="30" spans="2:6" x14ac:dyDescent="0.2">
      <c r="B30" s="3">
        <v>23</v>
      </c>
      <c r="C30" s="53" t="s">
        <v>104</v>
      </c>
      <c r="D30" s="190">
        <v>0</v>
      </c>
      <c r="E30" s="190">
        <v>0</v>
      </c>
      <c r="F30" s="190">
        <v>0</v>
      </c>
    </row>
    <row r="31" spans="2:6" x14ac:dyDescent="0.2">
      <c r="B31" s="3">
        <v>24</v>
      </c>
      <c r="C31" s="53" t="s">
        <v>105</v>
      </c>
      <c r="D31" s="190">
        <v>7.4919243109429642E-2</v>
      </c>
      <c r="E31" s="190">
        <v>8.2560224471993099E-2</v>
      </c>
      <c r="F31" s="190">
        <v>8.7513837940312686E-2</v>
      </c>
    </row>
    <row r="32" spans="2:6" x14ac:dyDescent="0.2">
      <c r="B32" s="3">
        <v>25</v>
      </c>
      <c r="C32" s="53" t="s">
        <v>106</v>
      </c>
      <c r="D32" s="190">
        <v>0</v>
      </c>
      <c r="E32" s="190">
        <v>0</v>
      </c>
      <c r="F32" s="190">
        <v>0</v>
      </c>
    </row>
    <row r="33" spans="2:6" x14ac:dyDescent="0.2">
      <c r="B33" s="3">
        <v>26</v>
      </c>
      <c r="C33" s="53" t="s">
        <v>107</v>
      </c>
      <c r="D33" s="190">
        <v>0</v>
      </c>
      <c r="E33" s="190">
        <v>0</v>
      </c>
      <c r="F33" s="190">
        <v>0</v>
      </c>
    </row>
    <row r="34" spans="2:6" x14ac:dyDescent="0.2">
      <c r="B34" s="3">
        <v>27</v>
      </c>
      <c r="C34" s="53" t="s">
        <v>108</v>
      </c>
      <c r="D34" s="190">
        <v>4.7495058588164371E-2</v>
      </c>
      <c r="E34" s="190">
        <v>5.2051133116098512E-2</v>
      </c>
      <c r="F34" s="190">
        <v>5.5174201103064424E-2</v>
      </c>
    </row>
    <row r="35" spans="2:6" x14ac:dyDescent="0.2">
      <c r="B35" s="3">
        <v>28</v>
      </c>
      <c r="C35" s="53" t="s">
        <v>79</v>
      </c>
      <c r="D35" s="190">
        <v>-0.43481576525229254</v>
      </c>
      <c r="E35" s="190">
        <v>7.162774138757029E-2</v>
      </c>
      <c r="F35" s="190">
        <v>7.5925405870824511E-2</v>
      </c>
    </row>
    <row r="36" spans="2:6" ht="15" x14ac:dyDescent="0.25">
      <c r="B36" s="3">
        <v>29</v>
      </c>
      <c r="C36" s="54" t="s">
        <v>109</v>
      </c>
      <c r="D36" s="106">
        <f>SUM(D8:D35)</f>
        <v>10.590544780834129</v>
      </c>
      <c r="E36" s="106">
        <f>SUM(E8:E35)</f>
        <v>11.965933021016424</v>
      </c>
      <c r="F36" s="106">
        <f>SUM(F8:F35)</f>
        <v>12.683889002277409</v>
      </c>
    </row>
    <row r="37" spans="2:6" ht="15" x14ac:dyDescent="0.25">
      <c r="B37" s="3">
        <v>30</v>
      </c>
      <c r="C37" s="42" t="s">
        <v>13</v>
      </c>
      <c r="D37" s="185"/>
      <c r="E37" s="187"/>
      <c r="F37" s="187"/>
    </row>
    <row r="38" spans="2:6" ht="15" x14ac:dyDescent="0.2">
      <c r="B38" s="3">
        <v>31</v>
      </c>
      <c r="C38" s="19" t="s">
        <v>110</v>
      </c>
      <c r="D38" s="106">
        <f>ROUND(D36-D37,2)</f>
        <v>10.59</v>
      </c>
      <c r="E38" s="106">
        <f t="shared" ref="E38:F38" si="0">ROUND(E36-E37,2)</f>
        <v>11.97</v>
      </c>
      <c r="F38" s="106">
        <f t="shared" si="0"/>
        <v>12.68</v>
      </c>
    </row>
  </sheetData>
  <mergeCells count="5">
    <mergeCell ref="B5:B7"/>
    <mergeCell ref="C5:C7"/>
    <mergeCell ref="B3:F3"/>
    <mergeCell ref="B1:F1"/>
    <mergeCell ref="B2:F2"/>
  </mergeCells>
  <pageMargins left="0.75" right="0.25" top="0.25" bottom="0.25" header="0.5" footer="0.5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2"/>
  <sheetViews>
    <sheetView showGridLines="0" view="pageBreakPreview" zoomScale="90" zoomScaleNormal="98" zoomScaleSheetLayoutView="90" workbookViewId="0">
      <selection activeCell="F18" sqref="F18"/>
    </sheetView>
  </sheetViews>
  <sheetFormatPr defaultColWidth="9.28515625" defaultRowHeight="14.25" x14ac:dyDescent="0.2"/>
  <cols>
    <col min="1" max="1" width="4.5703125" style="13" customWidth="1"/>
    <col min="2" max="2" width="8.7109375" style="55" customWidth="1"/>
    <col min="3" max="3" width="45.7109375" style="13" customWidth="1"/>
    <col min="4" max="5" width="15.7109375" style="13" customWidth="1"/>
    <col min="6" max="6" width="12.28515625" style="13" customWidth="1"/>
    <col min="7" max="16384" width="9.28515625" style="13"/>
  </cols>
  <sheetData>
    <row r="2" spans="2:6" ht="14.25" customHeight="1" x14ac:dyDescent="0.2">
      <c r="B2" s="229" t="s">
        <v>298</v>
      </c>
      <c r="C2" s="229"/>
      <c r="D2" s="229"/>
      <c r="E2" s="229"/>
      <c r="F2" s="229"/>
    </row>
    <row r="3" spans="2:6" ht="14.25" customHeight="1" x14ac:dyDescent="0.2">
      <c r="B3" s="229" t="str">
        <f>'F1'!$F$3</f>
        <v>SLBHES</v>
      </c>
      <c r="C3" s="229"/>
      <c r="D3" s="229"/>
      <c r="E3" s="229"/>
      <c r="F3" s="229"/>
    </row>
    <row r="4" spans="2:6" s="4" customFormat="1" ht="14.25" customHeight="1" x14ac:dyDescent="0.2">
      <c r="B4" s="229" t="s">
        <v>235</v>
      </c>
      <c r="C4" s="229"/>
      <c r="D4" s="229"/>
      <c r="E4" s="229"/>
      <c r="F4" s="229"/>
    </row>
    <row r="6" spans="2:6" ht="15" x14ac:dyDescent="0.2">
      <c r="F6" s="26" t="s">
        <v>4</v>
      </c>
    </row>
    <row r="7" spans="2:6" ht="12.75" customHeight="1" x14ac:dyDescent="0.2">
      <c r="B7" s="224" t="s">
        <v>164</v>
      </c>
      <c r="C7" s="222" t="s">
        <v>14</v>
      </c>
      <c r="D7" s="15" t="s">
        <v>299</v>
      </c>
      <c r="E7" s="15" t="s">
        <v>300</v>
      </c>
      <c r="F7" s="23" t="s">
        <v>331</v>
      </c>
    </row>
    <row r="8" spans="2:6" ht="15" x14ac:dyDescent="0.2">
      <c r="B8" s="224"/>
      <c r="C8" s="222"/>
      <c r="D8" s="15" t="s">
        <v>206</v>
      </c>
      <c r="E8" s="15" t="s">
        <v>205</v>
      </c>
      <c r="F8" s="15" t="s">
        <v>205</v>
      </c>
    </row>
    <row r="9" spans="2:6" ht="15" x14ac:dyDescent="0.2">
      <c r="B9" s="224"/>
      <c r="C9" s="222"/>
      <c r="D9" s="15" t="s">
        <v>12</v>
      </c>
      <c r="E9" s="15" t="s">
        <v>5</v>
      </c>
      <c r="F9" s="15" t="s">
        <v>8</v>
      </c>
    </row>
    <row r="10" spans="2:6" x14ac:dyDescent="0.2">
      <c r="B10" s="2">
        <v>1</v>
      </c>
      <c r="C10" s="53" t="s">
        <v>111</v>
      </c>
      <c r="D10" s="190">
        <v>21.4722822204645</v>
      </c>
      <c r="E10" s="190">
        <v>22.847101605995043</v>
      </c>
      <c r="F10" s="190">
        <v>24.217927702354746</v>
      </c>
    </row>
    <row r="11" spans="2:6" x14ac:dyDescent="0.2">
      <c r="B11" s="2">
        <v>2</v>
      </c>
      <c r="C11" s="53" t="s">
        <v>112</v>
      </c>
      <c r="D11" s="190">
        <v>2.1853193179076129</v>
      </c>
      <c r="E11" s="190">
        <v>2.3028874820835838</v>
      </c>
      <c r="F11" s="190">
        <v>2.4410607310085992</v>
      </c>
    </row>
    <row r="12" spans="2:6" x14ac:dyDescent="0.2">
      <c r="B12" s="2">
        <v>3</v>
      </c>
      <c r="C12" s="53" t="s">
        <v>113</v>
      </c>
      <c r="D12" s="190">
        <v>0</v>
      </c>
      <c r="E12" s="190">
        <v>0</v>
      </c>
      <c r="F12" s="190">
        <v>0</v>
      </c>
    </row>
    <row r="13" spans="2:6" x14ac:dyDescent="0.2">
      <c r="B13" s="2">
        <v>4</v>
      </c>
      <c r="C13" s="53" t="s">
        <v>114</v>
      </c>
      <c r="D13" s="190">
        <v>1.1987767E-2</v>
      </c>
      <c r="E13" s="190">
        <v>1.2829022114344873E-2</v>
      </c>
      <c r="F13" s="190">
        <v>1.3598763441205567E-2</v>
      </c>
    </row>
    <row r="14" spans="2:6" x14ac:dyDescent="0.2">
      <c r="B14" s="2">
        <v>5</v>
      </c>
      <c r="C14" s="53" t="s">
        <v>115</v>
      </c>
      <c r="D14" s="190">
        <v>0.48208553588274655</v>
      </c>
      <c r="E14" s="190">
        <v>0.5023414077858106</v>
      </c>
      <c r="F14" s="190">
        <v>0.53248189225295928</v>
      </c>
    </row>
    <row r="15" spans="2:6" x14ac:dyDescent="0.2">
      <c r="B15" s="2">
        <v>6</v>
      </c>
      <c r="C15" s="53" t="s">
        <v>116</v>
      </c>
      <c r="D15" s="190">
        <v>1.0691863392167354E-2</v>
      </c>
      <c r="E15" s="190">
        <v>1.1374877653693405E-2</v>
      </c>
      <c r="F15" s="190">
        <v>1.2057370312915009E-2</v>
      </c>
    </row>
    <row r="16" spans="2:6" x14ac:dyDescent="0.2">
      <c r="B16" s="2">
        <v>7</v>
      </c>
      <c r="C16" s="53" t="s">
        <v>117</v>
      </c>
      <c r="D16" s="190">
        <v>1.2699E-3</v>
      </c>
      <c r="E16" s="190">
        <v>1.3590166694937057E-3</v>
      </c>
      <c r="F16" s="190">
        <v>1.4405576696633281E-3</v>
      </c>
    </row>
    <row r="17" spans="2:6" x14ac:dyDescent="0.2">
      <c r="B17" s="2">
        <v>8</v>
      </c>
      <c r="C17" s="53" t="s">
        <v>118</v>
      </c>
      <c r="D17" s="190">
        <v>0.38829175905932845</v>
      </c>
      <c r="E17" s="190">
        <v>0.40955160031729404</v>
      </c>
      <c r="F17" s="190">
        <v>0.43412469633633172</v>
      </c>
    </row>
    <row r="18" spans="2:6" ht="15" x14ac:dyDescent="0.25">
      <c r="B18" s="2">
        <v>9</v>
      </c>
      <c r="C18" s="54" t="s">
        <v>119</v>
      </c>
      <c r="D18" s="106">
        <f>ROUND(SUM(D10:D17),2)</f>
        <v>24.55</v>
      </c>
      <c r="E18" s="106">
        <f t="shared" ref="E18:F18" si="0">ROUND(SUM(E10:E17),2)</f>
        <v>26.09</v>
      </c>
      <c r="F18" s="106">
        <f t="shared" si="0"/>
        <v>27.65</v>
      </c>
    </row>
    <row r="19" spans="2:6" ht="15" x14ac:dyDescent="0.25">
      <c r="B19" s="2"/>
      <c r="C19" s="52"/>
      <c r="D19" s="185"/>
      <c r="E19" s="188"/>
      <c r="F19" s="189"/>
    </row>
    <row r="20" spans="2:6" ht="15" x14ac:dyDescent="0.2">
      <c r="B20" s="2">
        <v>10</v>
      </c>
      <c r="C20" s="56" t="s">
        <v>120</v>
      </c>
      <c r="D20" s="106">
        <f>'F4'!F21</f>
        <v>3384.21</v>
      </c>
      <c r="E20" s="106">
        <f>'F4'!F43</f>
        <v>3400.43</v>
      </c>
      <c r="F20" s="106">
        <f>'F4'!F59</f>
        <v>3400.43</v>
      </c>
    </row>
    <row r="21" spans="2:6" ht="28.5" x14ac:dyDescent="0.2">
      <c r="B21" s="2">
        <v>11</v>
      </c>
      <c r="C21" s="56" t="s">
        <v>121</v>
      </c>
      <c r="D21" s="114">
        <f>IFERROR(D18/D20,0)</f>
        <v>7.2542779555642232E-3</v>
      </c>
      <c r="E21" s="114">
        <f>IFERROR(E18/E20,0)</f>
        <v>7.6725590587072819E-3</v>
      </c>
      <c r="F21" s="114">
        <f>IFERROR(F18/F20,0)</f>
        <v>8.1313245677752527E-3</v>
      </c>
    </row>
    <row r="22" spans="2:6" x14ac:dyDescent="0.2">
      <c r="B22" s="2"/>
      <c r="C22" s="52"/>
      <c r="D22" s="191"/>
      <c r="E22" s="191"/>
      <c r="F22" s="191"/>
    </row>
  </sheetData>
  <mergeCells count="5">
    <mergeCell ref="B7:B9"/>
    <mergeCell ref="C7:C9"/>
    <mergeCell ref="B4:F4"/>
    <mergeCell ref="B2:F2"/>
    <mergeCell ref="B3:F3"/>
  </mergeCells>
  <pageMargins left="1.25" right="0.75" top="1" bottom="1" header="0.5" footer="0.5"/>
  <pageSetup paperSize="9" scale="11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6"/>
  <sheetViews>
    <sheetView view="pageBreakPreview" zoomScale="90" zoomScaleNormal="118" zoomScaleSheetLayoutView="90" workbookViewId="0">
      <selection activeCell="E12" sqref="E12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2.140625" style="4" customWidth="1"/>
    <col min="5" max="5" width="11.5703125" style="4" customWidth="1"/>
    <col min="6" max="6" width="13.42578125" style="4" bestFit="1" customWidth="1"/>
    <col min="7" max="7" width="13.7109375" style="4" bestFit="1" customWidth="1"/>
    <col min="8" max="8" width="12.28515625" style="4" customWidth="1"/>
    <col min="9" max="9" width="11.7109375" style="4" bestFit="1" customWidth="1"/>
    <col min="10" max="10" width="10.42578125" style="4" customWidth="1"/>
    <col min="11" max="16384" width="9.28515625" style="4"/>
  </cols>
  <sheetData>
    <row r="1" spans="2:10" ht="15" x14ac:dyDescent="0.25">
      <c r="B1" s="57"/>
    </row>
    <row r="2" spans="2:10" ht="14.25" customHeight="1" x14ac:dyDescent="0.2">
      <c r="B2" s="229" t="s">
        <v>298</v>
      </c>
      <c r="C2" s="229"/>
      <c r="D2" s="229"/>
      <c r="E2" s="229"/>
      <c r="F2" s="229"/>
      <c r="G2" s="229"/>
      <c r="H2" s="229"/>
    </row>
    <row r="3" spans="2:10" ht="14.25" customHeight="1" x14ac:dyDescent="0.2">
      <c r="B3" s="35"/>
      <c r="C3" s="35"/>
      <c r="D3" s="35"/>
      <c r="E3" s="35" t="str">
        <f>'F1'!$F$3</f>
        <v>SLBHES</v>
      </c>
      <c r="F3" s="35"/>
      <c r="G3" s="35"/>
      <c r="H3" s="35"/>
    </row>
    <row r="4" spans="2:10" ht="14.25" customHeight="1" x14ac:dyDescent="0.2">
      <c r="B4" s="229" t="s">
        <v>236</v>
      </c>
      <c r="C4" s="229"/>
      <c r="D4" s="229"/>
      <c r="E4" s="229"/>
      <c r="F4" s="229"/>
      <c r="G4" s="229"/>
      <c r="H4" s="229"/>
    </row>
    <row r="5" spans="2:10" ht="15" x14ac:dyDescent="0.25">
      <c r="B5" s="36"/>
      <c r="C5" s="58"/>
      <c r="D5" s="58"/>
      <c r="E5" s="58"/>
      <c r="F5" s="58"/>
      <c r="G5" s="58"/>
      <c r="H5" s="58"/>
    </row>
    <row r="6" spans="2:10" ht="15" x14ac:dyDescent="0.2">
      <c r="I6" s="26" t="s">
        <v>4</v>
      </c>
    </row>
    <row r="7" spans="2:10" s="13" customFormat="1" ht="15" customHeight="1" x14ac:dyDescent="0.2">
      <c r="B7" s="219" t="s">
        <v>164</v>
      </c>
      <c r="C7" s="222" t="s">
        <v>14</v>
      </c>
      <c r="D7" s="226" t="s">
        <v>299</v>
      </c>
      <c r="E7" s="227"/>
      <c r="F7" s="228"/>
      <c r="G7" s="226" t="s">
        <v>300</v>
      </c>
      <c r="H7" s="228"/>
      <c r="I7" s="226" t="s">
        <v>331</v>
      </c>
      <c r="J7" s="228"/>
    </row>
    <row r="8" spans="2:10" s="13" customFormat="1" ht="45" x14ac:dyDescent="0.2">
      <c r="B8" s="220"/>
      <c r="C8" s="222"/>
      <c r="D8" s="15" t="s">
        <v>271</v>
      </c>
      <c r="E8" s="15" t="s">
        <v>206</v>
      </c>
      <c r="F8" s="15" t="s">
        <v>178</v>
      </c>
      <c r="G8" s="15" t="s">
        <v>271</v>
      </c>
      <c r="H8" s="15" t="s">
        <v>205</v>
      </c>
      <c r="I8" s="15" t="s">
        <v>271</v>
      </c>
      <c r="J8" s="15" t="s">
        <v>205</v>
      </c>
    </row>
    <row r="9" spans="2:10" s="13" customFormat="1" ht="30" x14ac:dyDescent="0.2">
      <c r="B9" s="221"/>
      <c r="C9" s="223"/>
      <c r="D9" s="15" t="s">
        <v>10</v>
      </c>
      <c r="E9" s="15" t="s">
        <v>12</v>
      </c>
      <c r="F9" s="15" t="s">
        <v>197</v>
      </c>
      <c r="G9" s="15" t="s">
        <v>10</v>
      </c>
      <c r="H9" s="15" t="s">
        <v>5</v>
      </c>
      <c r="I9" s="15" t="s">
        <v>10</v>
      </c>
      <c r="J9" s="15" t="s">
        <v>8</v>
      </c>
    </row>
    <row r="10" spans="2:10" s="5" customFormat="1" x14ac:dyDescent="0.2">
      <c r="B10" s="61">
        <v>1</v>
      </c>
      <c r="C10" s="27" t="s">
        <v>210</v>
      </c>
      <c r="D10" s="2"/>
      <c r="E10" s="27"/>
      <c r="F10" s="27"/>
      <c r="G10" s="104"/>
      <c r="H10" s="104"/>
      <c r="I10" s="104"/>
      <c r="J10" s="104">
        <f>H13</f>
        <v>0</v>
      </c>
    </row>
    <row r="11" spans="2:10" s="5" customFormat="1" x14ac:dyDescent="0.2">
      <c r="B11" s="20">
        <v>2</v>
      </c>
      <c r="C11" s="27" t="s">
        <v>239</v>
      </c>
      <c r="D11" s="2"/>
      <c r="E11" s="101">
        <f>E12</f>
        <v>16.220000000000002</v>
      </c>
      <c r="F11" s="101">
        <f>E11</f>
        <v>16.220000000000002</v>
      </c>
      <c r="G11" s="21"/>
      <c r="H11" s="104"/>
      <c r="I11" s="104"/>
      <c r="J11" s="104"/>
    </row>
    <row r="12" spans="2:10" s="5" customFormat="1" ht="15" x14ac:dyDescent="0.2">
      <c r="B12" s="20">
        <v>3</v>
      </c>
      <c r="C12" s="29" t="s">
        <v>191</v>
      </c>
      <c r="D12" s="112"/>
      <c r="E12" s="117">
        <f>16.46-0.24</f>
        <v>16.220000000000002</v>
      </c>
      <c r="F12" s="117">
        <f>E12</f>
        <v>16.220000000000002</v>
      </c>
      <c r="G12" s="112"/>
      <c r="H12" s="103"/>
      <c r="I12" s="103"/>
      <c r="J12" s="103"/>
    </row>
    <row r="13" spans="2:10" s="5" customFormat="1" ht="15" x14ac:dyDescent="0.2">
      <c r="B13" s="20">
        <v>4</v>
      </c>
      <c r="C13" s="27" t="s">
        <v>211</v>
      </c>
      <c r="D13" s="113">
        <f>D10+D11-D12</f>
        <v>0</v>
      </c>
      <c r="E13" s="113">
        <f t="shared" ref="E13:J13" si="0">E10+E11-E12</f>
        <v>0</v>
      </c>
      <c r="F13" s="113">
        <f t="shared" si="0"/>
        <v>0</v>
      </c>
      <c r="G13" s="113">
        <f t="shared" si="0"/>
        <v>0</v>
      </c>
      <c r="H13" s="113">
        <f>H10+H11-H12</f>
        <v>0</v>
      </c>
      <c r="I13" s="113">
        <f>I10+I11-I12</f>
        <v>0</v>
      </c>
      <c r="J13" s="113">
        <f t="shared" si="0"/>
        <v>0</v>
      </c>
    </row>
    <row r="14" spans="2:10" s="32" customFormat="1" ht="15" x14ac:dyDescent="0.2">
      <c r="B14" s="62"/>
      <c r="C14" s="49"/>
      <c r="D14" s="59"/>
      <c r="E14" s="59"/>
      <c r="F14" s="59"/>
      <c r="G14" s="60"/>
      <c r="H14" s="24"/>
    </row>
    <row r="16" spans="2:10" x14ac:dyDescent="0.2">
      <c r="B16" s="63"/>
    </row>
  </sheetData>
  <mergeCells count="7">
    <mergeCell ref="I7:J7"/>
    <mergeCell ref="B4:H4"/>
    <mergeCell ref="B2:H2"/>
    <mergeCell ref="B7:B9"/>
    <mergeCell ref="C7:C9"/>
    <mergeCell ref="D7:F7"/>
    <mergeCell ref="G7:H7"/>
  </mergeCells>
  <pageMargins left="0.27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1"/>
  <sheetViews>
    <sheetView showGridLines="0" view="pageBreakPreview" zoomScale="90" zoomScaleNormal="106" zoomScaleSheetLayoutView="90" workbookViewId="0">
      <selection activeCell="E27" sqref="E27"/>
    </sheetView>
  </sheetViews>
  <sheetFormatPr defaultRowHeight="14.25" x14ac:dyDescent="0.2"/>
  <cols>
    <col min="1" max="1" width="4.140625" style="5" customWidth="1"/>
    <col min="2" max="2" width="6.28515625" style="5" customWidth="1"/>
    <col min="3" max="3" width="16.5703125" style="5" customWidth="1"/>
    <col min="4" max="4" width="25" style="5" customWidth="1"/>
    <col min="5" max="5" width="31.7109375" style="5" customWidth="1"/>
    <col min="6" max="6" width="18.85546875" style="5" customWidth="1"/>
    <col min="7" max="7" width="20.85546875" style="5" customWidth="1"/>
    <col min="8" max="8" width="21.7109375" style="5" customWidth="1"/>
    <col min="9" max="9" width="27" style="5" customWidth="1"/>
    <col min="10" max="10" width="16" style="5" customWidth="1"/>
    <col min="11" max="11" width="31" style="5" customWidth="1"/>
    <col min="12" max="12" width="15.85546875" style="5" customWidth="1"/>
    <col min="13" max="13" width="13.140625" style="5" bestFit="1" customWidth="1"/>
    <col min="14" max="14" width="12.5703125" style="5" customWidth="1"/>
    <col min="15" max="15" width="11.85546875" style="5" bestFit="1" customWidth="1"/>
    <col min="16" max="16" width="13.85546875" style="5" bestFit="1" customWidth="1"/>
    <col min="17" max="21" width="11.85546875" style="5" bestFit="1" customWidth="1"/>
    <col min="22" max="22" width="11.7109375" style="5" bestFit="1" customWidth="1"/>
    <col min="23" max="16384" width="9.140625" style="5"/>
  </cols>
  <sheetData>
    <row r="1" spans="2:16" ht="15" x14ac:dyDescent="0.2">
      <c r="B1" s="210"/>
    </row>
    <row r="2" spans="2:16" ht="15" x14ac:dyDescent="0.2">
      <c r="B2" s="250" t="s">
        <v>298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</row>
    <row r="3" spans="2:16" ht="15" x14ac:dyDescent="0.2">
      <c r="B3" s="250" t="s">
        <v>333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</row>
    <row r="4" spans="2:16" ht="15" x14ac:dyDescent="0.2">
      <c r="B4" s="229" t="s">
        <v>237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</row>
    <row r="5" spans="2:16" ht="15" x14ac:dyDescent="0.2">
      <c r="K5" s="209"/>
    </row>
    <row r="6" spans="2:16" ht="75" x14ac:dyDescent="0.2">
      <c r="B6" s="251" t="s">
        <v>164</v>
      </c>
      <c r="C6" s="252" t="s">
        <v>212</v>
      </c>
      <c r="D6" s="164" t="s">
        <v>351</v>
      </c>
      <c r="E6" s="252" t="s">
        <v>213</v>
      </c>
      <c r="F6" s="164" t="s">
        <v>215</v>
      </c>
      <c r="G6" s="164" t="s">
        <v>352</v>
      </c>
      <c r="H6" s="164" t="s">
        <v>218</v>
      </c>
      <c r="I6" s="164" t="s">
        <v>353</v>
      </c>
      <c r="J6" s="252" t="s">
        <v>214</v>
      </c>
      <c r="K6" s="164" t="s">
        <v>219</v>
      </c>
      <c r="L6" s="164" t="s">
        <v>158</v>
      </c>
      <c r="M6" s="25"/>
      <c r="N6" s="25"/>
      <c r="O6" s="25"/>
      <c r="P6" s="25"/>
    </row>
    <row r="7" spans="2:16" ht="15" x14ac:dyDescent="0.2">
      <c r="B7" s="253"/>
      <c r="C7" s="254" t="s">
        <v>354</v>
      </c>
      <c r="D7" s="173"/>
      <c r="E7" s="173"/>
      <c r="F7" s="173"/>
      <c r="G7" s="173"/>
      <c r="H7" s="173"/>
      <c r="I7" s="173"/>
      <c r="J7" s="173"/>
      <c r="K7" s="173"/>
      <c r="L7" s="173"/>
    </row>
    <row r="8" spans="2:16" ht="45" x14ac:dyDescent="0.2">
      <c r="B8" s="252">
        <v>1</v>
      </c>
      <c r="C8" s="164" t="s">
        <v>354</v>
      </c>
      <c r="D8" s="211" t="s">
        <v>355</v>
      </c>
      <c r="E8" s="255" t="s">
        <v>356</v>
      </c>
      <c r="F8" s="256">
        <v>15.78</v>
      </c>
      <c r="G8" s="253"/>
      <c r="H8" s="257">
        <f>F8</f>
        <v>15.78</v>
      </c>
      <c r="I8" s="166"/>
      <c r="J8" s="173"/>
      <c r="K8" s="211" t="s">
        <v>357</v>
      </c>
      <c r="L8" s="169"/>
    </row>
    <row r="9" spans="2:16" ht="30" x14ac:dyDescent="0.2">
      <c r="B9" s="252">
        <v>2</v>
      </c>
      <c r="C9" s="164" t="s">
        <v>354</v>
      </c>
      <c r="D9" s="252" t="s">
        <v>358</v>
      </c>
      <c r="E9" s="255" t="s">
        <v>359</v>
      </c>
      <c r="F9" s="256">
        <v>0.67705870000000001</v>
      </c>
      <c r="G9" s="253"/>
      <c r="H9" s="257">
        <f>F9</f>
        <v>0.67705870000000001</v>
      </c>
      <c r="I9" s="253"/>
      <c r="J9" s="173"/>
      <c r="K9" s="211" t="s">
        <v>357</v>
      </c>
      <c r="L9" s="169"/>
    </row>
    <row r="10" spans="2:16" ht="15" x14ac:dyDescent="0.2">
      <c r="B10" s="253"/>
      <c r="C10" s="258" t="s">
        <v>123</v>
      </c>
      <c r="D10" s="173"/>
      <c r="E10" s="259"/>
      <c r="F10" s="257">
        <f>SUM(F8:F9)</f>
        <v>16.457058700000001</v>
      </c>
      <c r="G10" s="253"/>
      <c r="H10" s="257">
        <f>SUM(H8:H9)</f>
        <v>16.457058700000001</v>
      </c>
      <c r="I10" s="253"/>
      <c r="J10" s="173"/>
      <c r="K10" s="173"/>
      <c r="L10" s="173"/>
    </row>
    <row r="11" spans="2:16" ht="15" x14ac:dyDescent="0.2">
      <c r="B11" s="253"/>
      <c r="C11" s="254" t="s">
        <v>360</v>
      </c>
      <c r="D11" s="173"/>
      <c r="E11" s="259"/>
      <c r="F11" s="173"/>
      <c r="G11" s="173"/>
      <c r="H11" s="173"/>
      <c r="I11" s="173"/>
      <c r="J11" s="173"/>
      <c r="K11" s="173"/>
      <c r="L11" s="173"/>
    </row>
    <row r="12" spans="2:16" ht="15" x14ac:dyDescent="0.2">
      <c r="B12" s="252">
        <v>1</v>
      </c>
      <c r="C12" s="164" t="s">
        <v>360</v>
      </c>
      <c r="D12" s="260"/>
      <c r="E12" s="261"/>
      <c r="F12" s="261"/>
      <c r="G12" s="261"/>
      <c r="H12" s="261"/>
      <c r="I12" s="261"/>
      <c r="J12" s="261"/>
      <c r="K12" s="261"/>
      <c r="L12" s="261"/>
    </row>
    <row r="13" spans="2:16" ht="15" x14ac:dyDescent="0.2">
      <c r="B13" s="252">
        <v>2</v>
      </c>
      <c r="C13" s="258"/>
      <c r="E13" s="260"/>
      <c r="F13" s="258"/>
      <c r="G13" s="258"/>
      <c r="H13" s="258"/>
      <c r="I13" s="260"/>
      <c r="J13" s="262"/>
      <c r="K13" s="260"/>
      <c r="L13" s="263"/>
    </row>
    <row r="14" spans="2:16" ht="15" customHeight="1" x14ac:dyDescent="0.2">
      <c r="B14" s="252"/>
      <c r="C14" s="258" t="s">
        <v>123</v>
      </c>
      <c r="D14" s="173"/>
      <c r="E14" s="264"/>
      <c r="F14" s="258"/>
      <c r="G14" s="261"/>
      <c r="H14" s="261"/>
      <c r="I14" s="260"/>
      <c r="J14" s="262"/>
      <c r="K14" s="260"/>
      <c r="L14" s="263"/>
    </row>
    <row r="15" spans="2:16" ht="15" x14ac:dyDescent="0.2">
      <c r="B15" s="253"/>
      <c r="C15" s="254" t="s">
        <v>361</v>
      </c>
      <c r="D15" s="173"/>
      <c r="E15" s="173"/>
      <c r="F15" s="173"/>
      <c r="G15" s="173"/>
      <c r="H15" s="173"/>
      <c r="I15" s="173"/>
      <c r="J15" s="173"/>
      <c r="K15" s="173"/>
      <c r="L15" s="173"/>
    </row>
    <row r="16" spans="2:16" ht="15" x14ac:dyDescent="0.2">
      <c r="B16" s="252">
        <v>1</v>
      </c>
      <c r="C16" s="258" t="s">
        <v>361</v>
      </c>
      <c r="D16" s="260"/>
      <c r="E16" s="261"/>
      <c r="F16" s="258"/>
      <c r="G16" s="258"/>
      <c r="H16" s="258"/>
      <c r="I16" s="260"/>
      <c r="J16" s="262"/>
      <c r="K16" s="260"/>
      <c r="L16" s="263"/>
    </row>
    <row r="17" spans="2:12" ht="15" x14ac:dyDescent="0.2">
      <c r="B17" s="252">
        <v>2</v>
      </c>
      <c r="C17" s="258" t="s">
        <v>361</v>
      </c>
      <c r="E17" s="260"/>
      <c r="F17" s="258"/>
      <c r="G17" s="258"/>
      <c r="H17" s="258"/>
      <c r="I17" s="260"/>
      <c r="J17" s="262"/>
      <c r="K17" s="260"/>
      <c r="L17" s="263"/>
    </row>
    <row r="18" spans="2:12" ht="15" x14ac:dyDescent="0.2">
      <c r="B18" s="253">
        <v>3</v>
      </c>
      <c r="C18" s="253"/>
      <c r="D18" s="173"/>
      <c r="E18" s="173"/>
      <c r="F18" s="173"/>
      <c r="G18" s="173"/>
      <c r="H18" s="252"/>
      <c r="I18" s="173"/>
      <c r="J18" s="173"/>
      <c r="K18" s="173"/>
      <c r="L18" s="173"/>
    </row>
    <row r="19" spans="2:12" ht="15" x14ac:dyDescent="0.2">
      <c r="B19" s="173"/>
      <c r="C19" s="173" t="s">
        <v>9</v>
      </c>
      <c r="D19" s="173"/>
      <c r="E19" s="173"/>
      <c r="F19" s="173"/>
      <c r="G19" s="173"/>
      <c r="H19" s="252"/>
      <c r="I19" s="173"/>
      <c r="J19" s="173"/>
      <c r="K19" s="173"/>
      <c r="L19" s="173"/>
    </row>
    <row r="20" spans="2:12" ht="15" x14ac:dyDescent="0.2">
      <c r="B20" s="173"/>
      <c r="C20" s="252" t="s">
        <v>123</v>
      </c>
      <c r="D20" s="173"/>
      <c r="E20" s="173"/>
      <c r="F20" s="173"/>
      <c r="G20" s="173"/>
      <c r="H20" s="252"/>
      <c r="I20" s="173"/>
      <c r="J20" s="173"/>
      <c r="K20" s="173"/>
      <c r="L20" s="173"/>
    </row>
    <row r="21" spans="2:12" x14ac:dyDescent="0.2">
      <c r="B21" s="62" t="s">
        <v>216</v>
      </c>
      <c r="C21" s="50" t="s">
        <v>217</v>
      </c>
    </row>
  </sheetData>
  <mergeCells count="3">
    <mergeCell ref="B2:L2"/>
    <mergeCell ref="B3:L3"/>
    <mergeCell ref="B4:L4"/>
  </mergeCells>
  <pageMargins left="0.27" right="0.25" top="1" bottom="1" header="0.25" footer="0.25"/>
  <pageSetup paperSize="9" scale="61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showGridLines="0" tabSelected="1" view="pageBreakPreview" zoomScaleSheetLayoutView="100" workbookViewId="0">
      <selection activeCell="G17" sqref="G17"/>
    </sheetView>
  </sheetViews>
  <sheetFormatPr defaultColWidth="9.28515625" defaultRowHeight="14.25" x14ac:dyDescent="0.2"/>
  <cols>
    <col min="1" max="2" width="9.28515625" style="83"/>
    <col min="3" max="3" width="42" style="83" customWidth="1"/>
    <col min="4" max="4" width="16.28515625" style="83" customWidth="1"/>
    <col min="5" max="5" width="12.5703125" style="83" customWidth="1"/>
    <col min="6" max="6" width="16.28515625" style="83" customWidth="1"/>
    <col min="7" max="16384" width="9.28515625" style="83"/>
  </cols>
  <sheetData>
    <row r="2" spans="2:6" ht="15" x14ac:dyDescent="0.2">
      <c r="D2" s="32" t="s">
        <v>298</v>
      </c>
    </row>
    <row r="3" spans="2:6" ht="15" x14ac:dyDescent="0.2">
      <c r="D3" s="32" t="str">
        <f>'F1'!$F$3</f>
        <v>SLBHES</v>
      </c>
    </row>
    <row r="4" spans="2:6" ht="15" x14ac:dyDescent="0.2">
      <c r="D4" s="35" t="s">
        <v>261</v>
      </c>
    </row>
    <row r="6" spans="2:6" ht="15" customHeight="1" x14ac:dyDescent="0.2">
      <c r="B6" s="224" t="s">
        <v>164</v>
      </c>
      <c r="C6" s="236" t="s">
        <v>14</v>
      </c>
      <c r="D6" s="224" t="s">
        <v>299</v>
      </c>
      <c r="E6" s="126" t="s">
        <v>332</v>
      </c>
      <c r="F6" s="15" t="s">
        <v>331</v>
      </c>
    </row>
    <row r="7" spans="2:6" ht="15" x14ac:dyDescent="0.2">
      <c r="B7" s="224"/>
      <c r="C7" s="236"/>
      <c r="D7" s="224"/>
      <c r="E7" s="15" t="s">
        <v>205</v>
      </c>
      <c r="F7" s="15" t="s">
        <v>195</v>
      </c>
    </row>
    <row r="8" spans="2:6" ht="15" x14ac:dyDescent="0.2">
      <c r="B8" s="224"/>
      <c r="C8" s="236"/>
      <c r="D8" s="84" t="s">
        <v>3</v>
      </c>
      <c r="E8" s="15" t="s">
        <v>5</v>
      </c>
      <c r="F8" s="15" t="s">
        <v>8</v>
      </c>
    </row>
    <row r="9" spans="2:6" ht="15" x14ac:dyDescent="0.2">
      <c r="B9" s="85">
        <v>1</v>
      </c>
      <c r="C9" s="28" t="s">
        <v>262</v>
      </c>
      <c r="D9" s="102">
        <f>'F3'!E12</f>
        <v>16.220000000000002</v>
      </c>
      <c r="E9" s="102">
        <f>F3.1!H18</f>
        <v>0</v>
      </c>
      <c r="F9" s="102">
        <f>F3.1!H24</f>
        <v>0</v>
      </c>
    </row>
    <row r="10" spans="2:6" x14ac:dyDescent="0.2">
      <c r="B10" s="28"/>
      <c r="C10" s="28"/>
      <c r="D10" s="94"/>
      <c r="E10" s="94"/>
      <c r="F10" s="94"/>
    </row>
    <row r="11" spans="2:6" ht="15" x14ac:dyDescent="0.2">
      <c r="B11" s="85">
        <v>2</v>
      </c>
      <c r="C11" s="86" t="s">
        <v>159</v>
      </c>
      <c r="D11" s="94"/>
      <c r="E11" s="94"/>
      <c r="F11" s="94"/>
    </row>
    <row r="12" spans="2:6" x14ac:dyDescent="0.2">
      <c r="B12" s="28"/>
      <c r="C12" s="28" t="s">
        <v>163</v>
      </c>
      <c r="D12" s="94"/>
      <c r="E12" s="94"/>
      <c r="F12" s="94"/>
    </row>
    <row r="13" spans="2:6" x14ac:dyDescent="0.2">
      <c r="B13" s="28"/>
      <c r="C13" s="28" t="s">
        <v>162</v>
      </c>
      <c r="D13" s="94"/>
      <c r="E13" s="94"/>
      <c r="F13" s="94"/>
    </row>
    <row r="14" spans="2:6" x14ac:dyDescent="0.2">
      <c r="B14" s="28"/>
      <c r="C14" s="28" t="s">
        <v>9</v>
      </c>
      <c r="D14" s="94"/>
      <c r="E14" s="94"/>
      <c r="F14" s="94"/>
    </row>
    <row r="15" spans="2:6" ht="15" x14ac:dyDescent="0.2">
      <c r="B15" s="28"/>
      <c r="C15" s="86" t="s">
        <v>157</v>
      </c>
      <c r="D15" s="102">
        <f>SUM(D12:D14)</f>
        <v>0</v>
      </c>
      <c r="E15" s="102">
        <f>SUM(E12:E14)</f>
        <v>0</v>
      </c>
      <c r="F15" s="102">
        <f>SUM(F12:F14)</f>
        <v>0</v>
      </c>
    </row>
    <row r="16" spans="2:6" x14ac:dyDescent="0.2">
      <c r="B16" s="28"/>
      <c r="C16" s="28"/>
      <c r="D16" s="94"/>
      <c r="E16" s="94"/>
      <c r="F16" s="94"/>
    </row>
    <row r="17" spans="2:6" x14ac:dyDescent="0.2">
      <c r="B17" s="85">
        <v>3</v>
      </c>
      <c r="C17" s="28" t="s">
        <v>0</v>
      </c>
      <c r="D17" s="94"/>
      <c r="E17" s="94"/>
      <c r="F17" s="94"/>
    </row>
    <row r="18" spans="2:6" x14ac:dyDescent="0.2">
      <c r="B18" s="85">
        <v>4</v>
      </c>
      <c r="C18" s="28" t="s">
        <v>160</v>
      </c>
      <c r="D18" s="94">
        <f>D9</f>
        <v>16.220000000000002</v>
      </c>
      <c r="E18" s="94"/>
      <c r="F18" s="94">
        <f>F9</f>
        <v>0</v>
      </c>
    </row>
    <row r="19" spans="2:6" x14ac:dyDescent="0.2">
      <c r="B19" s="85">
        <v>5</v>
      </c>
      <c r="C19" s="28" t="s">
        <v>263</v>
      </c>
      <c r="D19" s="94"/>
      <c r="E19" s="94"/>
      <c r="F19" s="94"/>
    </row>
    <row r="20" spans="2:6" ht="15" x14ac:dyDescent="0.2">
      <c r="B20" s="28"/>
      <c r="C20" s="28"/>
      <c r="D20" s="98"/>
      <c r="E20" s="98"/>
      <c r="F20" s="98"/>
    </row>
    <row r="21" spans="2:6" ht="15" x14ac:dyDescent="0.2">
      <c r="B21" s="85">
        <v>6</v>
      </c>
      <c r="C21" s="86" t="s">
        <v>264</v>
      </c>
      <c r="D21" s="102">
        <f>D15+D17+D18+D19</f>
        <v>16.220000000000002</v>
      </c>
      <c r="E21" s="102">
        <f>SUM(E18:E20)</f>
        <v>0</v>
      </c>
      <c r="F21" s="102">
        <f>F15+F17+F18+F19</f>
        <v>0</v>
      </c>
    </row>
  </sheetData>
  <mergeCells count="3">
    <mergeCell ref="D6:D7"/>
    <mergeCell ref="B6:B8"/>
    <mergeCell ref="C6:C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3</vt:i4>
      </vt:variant>
    </vt:vector>
  </HeadingPairs>
  <TitlesOfParts>
    <vt:vector size="20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'F4'!Print_Area</vt:lpstr>
      <vt:lpstr>'F7'!Print_Area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2025-11-28T12:59:26Z</cp:lastPrinted>
  <dcterms:created xsi:type="dcterms:W3CDTF">2004-07-28T05:30:50Z</dcterms:created>
  <dcterms:modified xsi:type="dcterms:W3CDTF">2025-12-16T10:54:42Z</dcterms:modified>
</cp:coreProperties>
</file>